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almaholdingsinc-my.sharepoint.com/personal/lshaw_advancedco_com/Documents/Desktop/"/>
    </mc:Choice>
  </mc:AlternateContent>
  <xr:revisionPtr revIDLastSave="2" documentId="8_{234F1191-B113-47C7-B7A3-EB732DAC9333}" xr6:coauthVersionLast="47" xr6:coauthVersionMax="47" xr10:uidLastSave="{687826D2-2FCD-451B-B5A9-38E1AFE6F99A}"/>
  <bookViews>
    <workbookView xWindow="-110" yWindow="-110" windowWidth="22780" windowHeight="14540" xr2:uid="{00000000-000D-0000-FFFF-FFFF00000000}"/>
  </bookViews>
  <sheets>
    <sheet name="AX-CTL 1 Loop" sheetId="3" r:id="rId1"/>
    <sheet name="AX-CTL 2 Loop" sheetId="8" r:id="rId2"/>
    <sheet name="AX-CTL 4 Loop" sheetId="9" r:id="rId3"/>
    <sheet name="AV-AMP-80" sheetId="6" r:id="rId4"/>
    <sheet name="AV-VB" sheetId="10" r:id="rId5"/>
    <sheet name="AV-TEL" sheetId="7" r:id="rId6"/>
    <sheet name="AX-PSU-6" sheetId="12" r:id="rId7"/>
  </sheets>
  <definedNames>
    <definedName name="_xlnm._FilterDatabase" localSheetId="0" hidden="1">'AX-CTL 1 Loop'!$R$12:$Y$13</definedName>
    <definedName name="_xlnm._FilterDatabase" localSheetId="1" hidden="1">'AX-CTL 2 Loop'!$T$12:$AA$13</definedName>
    <definedName name="_xlnm._FilterDatabase" localSheetId="2" hidden="1">'AX-CTL 4 Loop'!$U$12:$AB$13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2" l="1"/>
  <c r="H17" i="12" s="1"/>
  <c r="H19" i="12" s="1"/>
  <c r="H20" i="12" s="1"/>
  <c r="B20" i="12" s="1"/>
  <c r="E16" i="12"/>
  <c r="G17" i="12"/>
  <c r="V29" i="9"/>
  <c r="V28" i="9"/>
  <c r="V26" i="9"/>
  <c r="V25" i="9"/>
  <c r="V23" i="9"/>
  <c r="V22" i="9"/>
  <c r="V20" i="9"/>
  <c r="V19" i="9"/>
  <c r="V16" i="9"/>
  <c r="V15" i="9"/>
  <c r="V13" i="9"/>
  <c r="V12" i="9"/>
  <c r="V10" i="9"/>
  <c r="V9" i="9"/>
  <c r="V7" i="9"/>
  <c r="V6" i="9"/>
  <c r="U16" i="8"/>
  <c r="U15" i="8"/>
  <c r="U13" i="8"/>
  <c r="U12" i="8"/>
  <c r="U10" i="8"/>
  <c r="U9" i="8"/>
  <c r="U7" i="8"/>
  <c r="U6" i="8"/>
  <c r="S16" i="3"/>
  <c r="S15" i="3"/>
  <c r="S13" i="3"/>
  <c r="S12" i="3"/>
  <c r="S10" i="3"/>
  <c r="S9" i="3"/>
  <c r="S7" i="3"/>
  <c r="S6" i="3"/>
  <c r="D25" i="9"/>
  <c r="G25" i="9" s="1"/>
  <c r="H25" i="9" s="1"/>
  <c r="D16" i="9"/>
  <c r="G16" i="9" s="1"/>
  <c r="D23" i="8"/>
  <c r="G23" i="8" s="1"/>
  <c r="D23" i="3"/>
  <c r="G23" i="3" s="1"/>
  <c r="O45" i="9"/>
  <c r="P44" i="9" s="1"/>
  <c r="N45" i="9"/>
  <c r="O44" i="9" s="1"/>
  <c r="M45" i="9"/>
  <c r="N44" i="9" s="1"/>
  <c r="L45" i="9"/>
  <c r="M44" i="9"/>
  <c r="M48" i="9"/>
  <c r="G38" i="9"/>
  <c r="F25" i="9"/>
  <c r="C25" i="9"/>
  <c r="E25" i="9" s="1"/>
  <c r="F16" i="9"/>
  <c r="H16" i="9" s="1"/>
  <c r="F14" i="8"/>
  <c r="H14" i="8" s="1"/>
  <c r="D14" i="8"/>
  <c r="G14" i="8" s="1"/>
  <c r="C16" i="9"/>
  <c r="C14" i="8"/>
  <c r="E14" i="8" s="1"/>
  <c r="F11" i="9"/>
  <c r="H11" i="9"/>
  <c r="C11" i="9"/>
  <c r="E11" i="9" s="1"/>
  <c r="E37" i="9" s="1"/>
  <c r="E38" i="9" s="1"/>
  <c r="H39" i="9" s="1"/>
  <c r="F11" i="8"/>
  <c r="H11" i="8" s="1"/>
  <c r="C11" i="8"/>
  <c r="E11" i="8"/>
  <c r="P3" i="9"/>
  <c r="P46" i="9" s="1"/>
  <c r="O3" i="9"/>
  <c r="O46" i="9"/>
  <c r="N3" i="9"/>
  <c r="N46" i="9"/>
  <c r="M3" i="9"/>
  <c r="M46" i="9"/>
  <c r="N3" i="8"/>
  <c r="N46" i="8"/>
  <c r="M3" i="8"/>
  <c r="M46" i="8" s="1"/>
  <c r="N44" i="8"/>
  <c r="N48" i="8" s="1"/>
  <c r="M45" i="8"/>
  <c r="L45" i="8"/>
  <c r="M44" i="8" s="1"/>
  <c r="L45" i="3"/>
  <c r="M44" i="3"/>
  <c r="M48" i="3" s="1"/>
  <c r="F12" i="3"/>
  <c r="H12" i="3"/>
  <c r="K17" i="8"/>
  <c r="K12" i="8"/>
  <c r="K17" i="9"/>
  <c r="K12" i="9"/>
  <c r="N43" i="9"/>
  <c r="C13" i="9"/>
  <c r="E13" i="9" s="1"/>
  <c r="P43" i="9"/>
  <c r="O43" i="9"/>
  <c r="C14" i="9" s="1"/>
  <c r="E14" i="9" s="1"/>
  <c r="M43" i="9"/>
  <c r="C12" i="9"/>
  <c r="E12" i="9"/>
  <c r="N43" i="8"/>
  <c r="C13" i="8" s="1"/>
  <c r="E13" i="8" s="1"/>
  <c r="M43" i="8"/>
  <c r="C12" i="8"/>
  <c r="E12" i="8"/>
  <c r="K17" i="3"/>
  <c r="K12" i="3"/>
  <c r="M3" i="3"/>
  <c r="M46" i="3"/>
  <c r="M43" i="3"/>
  <c r="C12" i="3"/>
  <c r="E12" i="3" s="1"/>
  <c r="M13" i="3"/>
  <c r="G17" i="10"/>
  <c r="G26" i="9"/>
  <c r="H26" i="9"/>
  <c r="E26" i="9"/>
  <c r="G23" i="9"/>
  <c r="H23" i="9"/>
  <c r="E23" i="9"/>
  <c r="H22" i="9"/>
  <c r="G21" i="8"/>
  <c r="H21" i="8" s="1"/>
  <c r="H20" i="8"/>
  <c r="E21" i="8"/>
  <c r="G24" i="8"/>
  <c r="H24" i="8"/>
  <c r="E24" i="8"/>
  <c r="G24" i="3"/>
  <c r="H24" i="3"/>
  <c r="E24" i="3"/>
  <c r="G19" i="7"/>
  <c r="G14" i="7"/>
  <c r="H14" i="7"/>
  <c r="E14" i="7"/>
  <c r="G15" i="7"/>
  <c r="G11" i="7"/>
  <c r="E11" i="7"/>
  <c r="F11" i="7"/>
  <c r="H11" i="7"/>
  <c r="E13" i="7"/>
  <c r="E18" i="7" s="1"/>
  <c r="E19" i="7" s="1"/>
  <c r="H20" i="7" s="1"/>
  <c r="E15" i="7"/>
  <c r="F15" i="7"/>
  <c r="H15" i="7" s="1"/>
  <c r="C11" i="3"/>
  <c r="E11" i="3"/>
  <c r="G13" i="7"/>
  <c r="H13" i="7"/>
  <c r="G10" i="7"/>
  <c r="E10" i="7"/>
  <c r="F15" i="10"/>
  <c r="H15" i="10" s="1"/>
  <c r="F14" i="10"/>
  <c r="H14" i="10"/>
  <c r="H11" i="10"/>
  <c r="G11" i="10"/>
  <c r="E11" i="10"/>
  <c r="H10" i="10"/>
  <c r="E10" i="10"/>
  <c r="H20" i="3"/>
  <c r="G17" i="6"/>
  <c r="W29" i="9"/>
  <c r="W28" i="9"/>
  <c r="W26" i="9"/>
  <c r="W25" i="9"/>
  <c r="W23" i="9"/>
  <c r="W22" i="9"/>
  <c r="W20" i="9"/>
  <c r="W19" i="9"/>
  <c r="AB19" i="9" s="1"/>
  <c r="Z29" i="9"/>
  <c r="AA29" i="9" s="1"/>
  <c r="AB29" i="9" s="1"/>
  <c r="Z28" i="9"/>
  <c r="AA28" i="9"/>
  <c r="AB28" i="9" s="1"/>
  <c r="Z26" i="9"/>
  <c r="AA26" i="9"/>
  <c r="AB26" i="9" s="1"/>
  <c r="Z25" i="9"/>
  <c r="AA25" i="9"/>
  <c r="AB25" i="9" s="1"/>
  <c r="Z23" i="9"/>
  <c r="AA23" i="9"/>
  <c r="AB23" i="9" s="1"/>
  <c r="Z22" i="9"/>
  <c r="AA22" i="9"/>
  <c r="AB22" i="9" s="1"/>
  <c r="AA20" i="9"/>
  <c r="AB20" i="9" s="1"/>
  <c r="AA19" i="9"/>
  <c r="E17" i="9"/>
  <c r="G17" i="9"/>
  <c r="H17" i="9" s="1"/>
  <c r="E18" i="9"/>
  <c r="G18" i="9"/>
  <c r="H18" i="9"/>
  <c r="H19" i="9"/>
  <c r="E20" i="9"/>
  <c r="G20" i="9"/>
  <c r="H20" i="9"/>
  <c r="E21" i="9"/>
  <c r="G21" i="9"/>
  <c r="H21" i="9"/>
  <c r="G24" i="9"/>
  <c r="H24" i="9" s="1"/>
  <c r="E30" i="9"/>
  <c r="H30" i="9"/>
  <c r="E32" i="9"/>
  <c r="H32" i="9"/>
  <c r="H36" i="9"/>
  <c r="H35" i="9"/>
  <c r="H34" i="9"/>
  <c r="H33" i="9"/>
  <c r="Z16" i="9"/>
  <c r="AA16" i="9"/>
  <c r="AB16" i="9" s="1"/>
  <c r="W16" i="9"/>
  <c r="Z15" i="9"/>
  <c r="AA15" i="9"/>
  <c r="AB15" i="9" s="1"/>
  <c r="W15" i="9"/>
  <c r="Z13" i="9"/>
  <c r="AA13" i="9"/>
  <c r="AB13" i="9" s="1"/>
  <c r="W13" i="9"/>
  <c r="Z12" i="9"/>
  <c r="AA12" i="9"/>
  <c r="AB12" i="9" s="1"/>
  <c r="W12" i="9"/>
  <c r="Z10" i="9"/>
  <c r="AA10" i="9"/>
  <c r="AB10" i="9" s="1"/>
  <c r="W10" i="9"/>
  <c r="H10" i="9"/>
  <c r="E10" i="9"/>
  <c r="Z9" i="9"/>
  <c r="AA9" i="9"/>
  <c r="AB9" i="9" s="1"/>
  <c r="W9" i="9"/>
  <c r="AA7" i="9"/>
  <c r="AB7" i="9" s="1"/>
  <c r="W7" i="9"/>
  <c r="AA6" i="9"/>
  <c r="W6" i="9"/>
  <c r="G38" i="8"/>
  <c r="H34" i="8"/>
  <c r="H33" i="8"/>
  <c r="H31" i="8"/>
  <c r="E31" i="8"/>
  <c r="H29" i="8"/>
  <c r="E29" i="8"/>
  <c r="F23" i="8"/>
  <c r="H23" i="8" s="1"/>
  <c r="C23" i="8"/>
  <c r="E23" i="8" s="1"/>
  <c r="G22" i="8"/>
  <c r="H22" i="8"/>
  <c r="G19" i="8"/>
  <c r="H19" i="8"/>
  <c r="E19" i="8"/>
  <c r="G18" i="8"/>
  <c r="H18" i="8" s="1"/>
  <c r="E18" i="8"/>
  <c r="H17" i="8"/>
  <c r="Y16" i="8"/>
  <c r="Z16" i="8"/>
  <c r="AA16" i="8" s="1"/>
  <c r="V16" i="8"/>
  <c r="G16" i="8"/>
  <c r="H16" i="8"/>
  <c r="E16" i="8"/>
  <c r="Y15" i="8"/>
  <c r="Z15" i="8" s="1"/>
  <c r="AA15" i="8" s="1"/>
  <c r="V15" i="8"/>
  <c r="G15" i="8"/>
  <c r="H15" i="8"/>
  <c r="E15" i="8"/>
  <c r="Y13" i="8"/>
  <c r="Z13" i="8" s="1"/>
  <c r="AA13" i="8" s="1"/>
  <c r="V13" i="8"/>
  <c r="Y12" i="8"/>
  <c r="Z12" i="8"/>
  <c r="AA12" i="8" s="1"/>
  <c r="V12" i="8"/>
  <c r="Y10" i="8"/>
  <c r="Z10" i="8" s="1"/>
  <c r="AA10" i="8" s="1"/>
  <c r="V10" i="8"/>
  <c r="H10" i="8"/>
  <c r="E10" i="8"/>
  <c r="Y9" i="8"/>
  <c r="Z9" i="8"/>
  <c r="AA9" i="8" s="1"/>
  <c r="V9" i="8"/>
  <c r="Z7" i="8"/>
  <c r="AA7" i="8" s="1"/>
  <c r="V7" i="8"/>
  <c r="Z6" i="8"/>
  <c r="AA6" i="8" s="1"/>
  <c r="V6" i="8"/>
  <c r="X7" i="3"/>
  <c r="Y7" i="3" s="1"/>
  <c r="X6" i="3"/>
  <c r="E29" i="3"/>
  <c r="H34" i="3"/>
  <c r="H33" i="3"/>
  <c r="H31" i="3"/>
  <c r="H29" i="3"/>
  <c r="E31" i="3"/>
  <c r="F23" i="3"/>
  <c r="H23" i="3" s="1"/>
  <c r="C23" i="3"/>
  <c r="F14" i="3"/>
  <c r="H14" i="3" s="1"/>
  <c r="D14" i="3"/>
  <c r="G14" i="3"/>
  <c r="C14" i="3"/>
  <c r="E14" i="3" s="1"/>
  <c r="E15" i="3"/>
  <c r="G15" i="3"/>
  <c r="H15" i="3"/>
  <c r="AL41" i="3" s="1"/>
  <c r="C30" i="3" s="1"/>
  <c r="E16" i="3"/>
  <c r="G16" i="3"/>
  <c r="H16" i="3" s="1"/>
  <c r="H17" i="3"/>
  <c r="E18" i="3"/>
  <c r="G18" i="3"/>
  <c r="H18" i="3" s="1"/>
  <c r="E19" i="3"/>
  <c r="G19" i="3"/>
  <c r="H19" i="3"/>
  <c r="E21" i="3"/>
  <c r="G21" i="3"/>
  <c r="H21" i="3"/>
  <c r="G22" i="3"/>
  <c r="H22" i="3" s="1"/>
  <c r="G38" i="3"/>
  <c r="F11" i="3"/>
  <c r="H11" i="3"/>
  <c r="W16" i="3"/>
  <c r="X16" i="3"/>
  <c r="Y16" i="3" s="1"/>
  <c r="W15" i="3"/>
  <c r="X15" i="3"/>
  <c r="W13" i="3"/>
  <c r="X13" i="3"/>
  <c r="W12" i="3"/>
  <c r="X12" i="3"/>
  <c r="Y12" i="3" s="1"/>
  <c r="W10" i="3"/>
  <c r="X10" i="3"/>
  <c r="W9" i="3"/>
  <c r="X9" i="3"/>
  <c r="Y9" i="3" s="1"/>
  <c r="T16" i="3"/>
  <c r="T13" i="3"/>
  <c r="T12" i="3"/>
  <c r="T15" i="3"/>
  <c r="T10" i="3"/>
  <c r="Y10" i="3" s="1"/>
  <c r="T9" i="3"/>
  <c r="T7" i="3"/>
  <c r="T6" i="3"/>
  <c r="Y6" i="3"/>
  <c r="H13" i="6"/>
  <c r="E13" i="6"/>
  <c r="F15" i="6"/>
  <c r="H15" i="6"/>
  <c r="F14" i="6"/>
  <c r="H14" i="6"/>
  <c r="H10" i="6"/>
  <c r="H16" i="6" s="1"/>
  <c r="H17" i="6" s="1"/>
  <c r="E10" i="6"/>
  <c r="E16" i="6" s="1"/>
  <c r="H10" i="3"/>
  <c r="E10" i="3"/>
  <c r="H10" i="7"/>
  <c r="C15" i="9"/>
  <c r="E15" i="9"/>
  <c r="AB6" i="9"/>
  <c r="E16" i="9"/>
  <c r="F13" i="8"/>
  <c r="H13" i="8"/>
  <c r="F12" i="9"/>
  <c r="H12" i="9"/>
  <c r="E16" i="10"/>
  <c r="E17" i="10"/>
  <c r="H18" i="10" s="1"/>
  <c r="Y15" i="3"/>
  <c r="Y13" i="3"/>
  <c r="E17" i="12"/>
  <c r="H18" i="12"/>
  <c r="I23" i="12"/>
  <c r="F12" i="8" l="1"/>
  <c r="H12" i="8" s="1"/>
  <c r="H37" i="8" s="1"/>
  <c r="H38" i="8" s="1"/>
  <c r="H40" i="8" s="1"/>
  <c r="H41" i="8" s="1"/>
  <c r="B41" i="8" s="1"/>
  <c r="M48" i="8"/>
  <c r="AM41" i="8"/>
  <c r="C30" i="8" s="1"/>
  <c r="AM41" i="9"/>
  <c r="C31" i="9" s="1"/>
  <c r="N48" i="9"/>
  <c r="F13" i="9"/>
  <c r="H13" i="9" s="1"/>
  <c r="H37" i="9" s="1"/>
  <c r="H38" i="9" s="1"/>
  <c r="H40" i="9" s="1"/>
  <c r="H41" i="9" s="1"/>
  <c r="B41" i="9" s="1"/>
  <c r="O48" i="9"/>
  <c r="F14" i="9"/>
  <c r="H14" i="9" s="1"/>
  <c r="E37" i="3"/>
  <c r="E38" i="3" s="1"/>
  <c r="H39" i="3" s="1"/>
  <c r="E37" i="8"/>
  <c r="E38" i="8" s="1"/>
  <c r="H39" i="8" s="1"/>
  <c r="H37" i="3"/>
  <c r="H38" i="3" s="1"/>
  <c r="H40" i="3" s="1"/>
  <c r="H41" i="3" s="1"/>
  <c r="B41" i="3" s="1"/>
  <c r="P48" i="9"/>
  <c r="F15" i="9"/>
  <c r="H15" i="9" s="1"/>
  <c r="H18" i="7"/>
  <c r="H19" i="7" s="1"/>
  <c r="H21" i="7" s="1"/>
  <c r="H22" i="7" s="1"/>
  <c r="H16" i="10"/>
  <c r="I24" i="6"/>
  <c r="E17" i="6"/>
  <c r="H18" i="6" s="1"/>
  <c r="H19" i="6"/>
  <c r="H20" i="6" s="1"/>
  <c r="B20" i="6" s="1"/>
  <c r="E23" i="3"/>
  <c r="I23" i="10" l="1"/>
  <c r="H17" i="10"/>
  <c r="H19" i="10" s="1"/>
  <c r="H20" i="10" s="1"/>
  <c r="B20" i="10" s="1"/>
</calcChain>
</file>

<file path=xl/sharedStrings.xml><?xml version="1.0" encoding="utf-8"?>
<sst xmlns="http://schemas.openxmlformats.org/spreadsheetml/2006/main" count="888" uniqueCount="237">
  <si>
    <t>Project</t>
  </si>
  <si>
    <t>Completed by</t>
  </si>
  <si>
    <t>Date</t>
  </si>
  <si>
    <t>Quiescent Load</t>
  </si>
  <si>
    <t>Fire Alarm Load</t>
  </si>
  <si>
    <t>Equipment</t>
  </si>
  <si>
    <t>I(A)</t>
  </si>
  <si>
    <t>X</t>
  </si>
  <si>
    <t>Total</t>
  </si>
  <si>
    <r>
      <t>Σ</t>
    </r>
    <r>
      <rPr>
        <sz val="10"/>
        <rFont val="Arial"/>
      </rPr>
      <t>Quiescent Load</t>
    </r>
  </si>
  <si>
    <t>ΣAlarm Load</t>
  </si>
  <si>
    <t xml:space="preserve">Standby Duration (hours) = </t>
  </si>
  <si>
    <t>Hr</t>
  </si>
  <si>
    <t>→ (carry forward) +</t>
  </si>
  <si>
    <t>Total Load (Quiescent + Alarm) =</t>
  </si>
  <si>
    <t>Ahr</t>
  </si>
  <si>
    <t>Notes:</t>
  </si>
  <si>
    <t>Base Card</t>
  </si>
  <si>
    <t>NAC#1 Output</t>
  </si>
  <si>
    <t>NAC#2 Output</t>
  </si>
  <si>
    <t>Detectors</t>
  </si>
  <si>
    <t>Bases</t>
  </si>
  <si>
    <t>58000-450ADV</t>
  </si>
  <si>
    <t>58000-550ADV</t>
  </si>
  <si>
    <t>58000-650ADV</t>
  </si>
  <si>
    <t>58000-750ADV</t>
  </si>
  <si>
    <t>45681-211ADS</t>
  </si>
  <si>
    <t>Modules</t>
  </si>
  <si>
    <t>55000-750ADV</t>
  </si>
  <si>
    <t>Isolator Base</t>
  </si>
  <si>
    <t>45681-321ADS</t>
  </si>
  <si>
    <t>55000-790ADV</t>
  </si>
  <si>
    <t>55000-825ADV</t>
  </si>
  <si>
    <t>55000-831ADV</t>
  </si>
  <si>
    <t>55000-863ADV</t>
  </si>
  <si>
    <t>45681-242ADS</t>
  </si>
  <si>
    <t>4" Relay Base</t>
  </si>
  <si>
    <t>45681-250ADS</t>
  </si>
  <si>
    <t>6" E-Z Fit Base</t>
  </si>
  <si>
    <t>SLC#1</t>
  </si>
  <si>
    <t>SLC#2</t>
  </si>
  <si>
    <t>SLC#3</t>
  </si>
  <si>
    <t>SLC#4</t>
  </si>
  <si>
    <t>REV</t>
  </si>
  <si>
    <t>battcalc</t>
  </si>
  <si>
    <t>AX-RL8 (8-way relay card)</t>
  </si>
  <si>
    <t>Aux 1 (resettable power)</t>
  </si>
  <si>
    <t>AV-AMP-80</t>
  </si>
  <si>
    <t xml:space="preserve">         Do not exceed 5 Amp Max. on the AX-PSU-6</t>
  </si>
  <si>
    <t>Note:  If powering any additional options from the AV-AMP-80 Power Supply (AX-PSU-6) remember to add Quiescent and Alarm Currents</t>
  </si>
  <si>
    <t>Optional Current Draw</t>
  </si>
  <si>
    <t>AX-ASW-16</t>
  </si>
  <si>
    <t>AX-I/O-48</t>
  </si>
  <si>
    <t>AX-RL4</t>
  </si>
  <si>
    <t>55000-877(879)ADV</t>
  </si>
  <si>
    <t>55000-041(042)ADV</t>
  </si>
  <si>
    <t>58000-011(012)ADV</t>
  </si>
  <si>
    <t>55000-765ADV</t>
  </si>
  <si>
    <t>SLC QTY</t>
  </si>
  <si>
    <t>01</t>
  </si>
  <si>
    <t>Enter Circuit Wattage</t>
  </si>
  <si>
    <t>2V, AX-CC2-16 and two loop Modular Command Centers.  AV-AMP-80 Battery Calc form must</t>
  </si>
  <si>
    <t>also be utilized for AX-CTL-2V, AX-CC2-16 and Modular Command Centers with audio.</t>
  </si>
  <si>
    <t>1L, 1V, AX-CC1-16 and one loop Modular Command Centers.  AV-AMP-80 Battery Calc form</t>
  </si>
  <si>
    <t>This Battery Calc form is used for one Loop intelligent Fire Alarm Control Panels;  AX-CTL-1,</t>
  </si>
  <si>
    <t>must also be utilized for AX-CTL-1V, AX-CC1-16 and Modular Command Centers with audio.</t>
  </si>
  <si>
    <t>This Battery Calc form is used for two Loop intelligent Fire Alarm Control Panels; AX-CTL-2,</t>
  </si>
  <si>
    <t>This Battery Calc form is used for four Loop intelligent Fire Alarm Control Panels; AX-CTL-4,</t>
  </si>
  <si>
    <t>4V, AX-CC4-16 and four loop Modular Command Centers.  AV-AMP-80 Battery Calc form must</t>
  </si>
  <si>
    <t>also be utilized for AX-CTL-4V, AX-CC4-16 and Modular Command Centers with audio.</t>
  </si>
  <si>
    <t>This Battery Calc form is used for the AV-VB Audio Booster</t>
  </si>
  <si>
    <t xml:space="preserve">AX-PSU-6:  </t>
  </si>
  <si>
    <t>AX-RL10</t>
  </si>
  <si>
    <t>Open Area Sounder (Red or White)</t>
  </si>
  <si>
    <t>Open Area Sounder Beacon (Red or White)</t>
  </si>
  <si>
    <t>Heat Detector</t>
  </si>
  <si>
    <t>Ion Detector</t>
  </si>
  <si>
    <t>Photoelectric Detector</t>
  </si>
  <si>
    <t>Multi Sensor Detector</t>
  </si>
  <si>
    <t>Beacon (Base Mount, Red or Amber)</t>
  </si>
  <si>
    <t>Sounder Beacon Base (Red/Amber Beacon)</t>
  </si>
  <si>
    <t>45681-526 (525)ADS</t>
  </si>
  <si>
    <t>45681-524 (527)ADS</t>
  </si>
  <si>
    <t>Enhanced Sounder Beacon Base (Red/Amber)</t>
  </si>
  <si>
    <t>Isolator Module</t>
  </si>
  <si>
    <t>Isolating Base</t>
  </si>
  <si>
    <t>Dual Monitor Module</t>
  </si>
  <si>
    <t>NAC (Sounder) Module</t>
  </si>
  <si>
    <t>Mini Monitor DIN Rail Mount</t>
  </si>
  <si>
    <t>Relay Module</t>
  </si>
  <si>
    <t>Manual Pull Station</t>
  </si>
  <si>
    <t>Beacon</t>
  </si>
  <si>
    <t>Open Area Sounder</t>
  </si>
  <si>
    <t>Open Area Sounder Beacon</t>
  </si>
  <si>
    <t>Sounder Beacon Base</t>
  </si>
  <si>
    <t>Enhanced Sounder Beacon Base</t>
  </si>
  <si>
    <t>Quiescent</t>
  </si>
  <si>
    <t>Alarm</t>
  </si>
  <si>
    <t>M6</t>
  </si>
  <si>
    <t>M7</t>
  </si>
  <si>
    <t>M8</t>
  </si>
  <si>
    <t>M9</t>
  </si>
  <si>
    <t>M10</t>
  </si>
  <si>
    <t>M11</t>
  </si>
  <si>
    <t>M12</t>
  </si>
  <si>
    <t>M14</t>
  </si>
  <si>
    <t>M15</t>
  </si>
  <si>
    <t>M21</t>
  </si>
  <si>
    <t>M23</t>
  </si>
  <si>
    <t>M24</t>
  </si>
  <si>
    <t>M25</t>
  </si>
  <si>
    <t>M27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</si>
  <si>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</si>
  <si>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</si>
  <si>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</si>
  <si>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</si>
  <si>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</si>
  <si>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</si>
  <si>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</si>
  <si>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</si>
  <si>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</si>
  <si>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</si>
  <si>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</si>
  <si>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Resistance</t>
  </si>
  <si>
    <t>LED Drive Output</t>
  </si>
  <si>
    <t>M18</t>
  </si>
  <si>
    <t>M19</t>
  </si>
  <si>
    <t>M20</t>
  </si>
  <si>
    <t>M22</t>
  </si>
  <si>
    <t>M28</t>
  </si>
  <si>
    <t>Remote AX-ANN-C (D)</t>
  </si>
  <si>
    <t>D9068P DACT w/AX-SEB</t>
  </si>
  <si>
    <t>04</t>
  </si>
  <si>
    <t>AX-CTY (no added current draw)</t>
  </si>
  <si>
    <t>AX-NET7, Style 7 Network</t>
  </si>
  <si>
    <t>AX-NET4, Style 4 Network</t>
  </si>
  <si>
    <t>ipGateway (AX-LAN), Style 4</t>
  </si>
  <si>
    <t>No ipGateway (AX-LAN)</t>
  </si>
  <si>
    <t>ipGateway (AX-LAN), Style 7</t>
  </si>
  <si>
    <t>5 Minute</t>
  </si>
  <si>
    <t>10 Minute</t>
  </si>
  <si>
    <t>15 Minute</t>
  </si>
  <si>
    <t>20 Minute</t>
  </si>
  <si>
    <t>25 Minute</t>
  </si>
  <si>
    <t>30 Minute</t>
  </si>
  <si>
    <t>35 Minute</t>
  </si>
  <si>
    <t>40 Minute</t>
  </si>
  <si>
    <t>45 Minute</t>
  </si>
  <si>
    <t>50 Minute</t>
  </si>
  <si>
    <t>55 Minute</t>
  </si>
  <si>
    <t>60 Minute</t>
  </si>
  <si>
    <t>→ Quiescent Current</t>
  </si>
  <si>
    <t>Alarm Current</t>
  </si>
  <si>
    <t>Quiescent Current</t>
  </si>
  <si>
    <t>XP95 Detector</t>
  </si>
  <si>
    <t>AX Series Duct Detector</t>
  </si>
  <si>
    <t>SLC Warnings:</t>
  </si>
  <si>
    <t># of Active LEDs</t>
  </si>
  <si>
    <t>Aux 2 Current Draw</t>
  </si>
  <si>
    <t>Aux 2  Total  (non-resettable power)</t>
  </si>
  <si>
    <t xml:space="preserve">     -Other Aux 2 power usage</t>
  </si>
  <si>
    <t>AX-CZM</t>
  </si>
  <si>
    <t>Amp Quiescent Current</t>
  </si>
  <si>
    <t>Amp Alarm Current</t>
  </si>
  <si>
    <t>Project Name / Location</t>
  </si>
  <si>
    <t>Minimum Voltage</t>
  </si>
  <si>
    <t>Total Current (A)</t>
  </si>
  <si>
    <t>Wire AWG</t>
  </si>
  <si>
    <t>Ohms / 1000ft</t>
  </si>
  <si>
    <t>Wiring Distance (ft) (2-wires [+,-])</t>
  </si>
  <si>
    <t>NAC Voltage Drop Calculator - Enter Wiring Distance (+, -)</t>
  </si>
  <si>
    <t>No Network Card Installed</t>
  </si>
  <si>
    <t>SLC#2 Current</t>
  </si>
  <si>
    <t>SLC#1 Current</t>
  </si>
  <si>
    <t>SLC#3 Current</t>
  </si>
  <si>
    <t>SLC#4 Current</t>
  </si>
  <si>
    <t>NAC#3 Output</t>
  </si>
  <si>
    <t>NAC#4 Output</t>
  </si>
  <si>
    <t>LCD Backlight Battery Mode "OFF"</t>
  </si>
  <si>
    <t>LCD Backlight Battery Mode "ON"</t>
  </si>
  <si>
    <t>AX-R10</t>
  </si>
  <si>
    <t>45681-800ADV</t>
  </si>
  <si>
    <t>CO Detector w/Sounder Base</t>
  </si>
  <si>
    <t>M40</t>
  </si>
  <si>
    <t>Polycarbonate Pull Station</t>
  </si>
  <si>
    <t>56000-005ADV</t>
  </si>
  <si>
    <t>Telephone Equipment</t>
  </si>
  <si>
    <t>Active Load</t>
  </si>
  <si>
    <t>AV-TEL-RISER6 Controlled Phones</t>
  </si>
  <si>
    <t>AV-TEL Controlled Phones</t>
  </si>
  <si>
    <t xml:space="preserve">    # of Command Center Phones (Max. 2)</t>
  </si>
  <si>
    <t xml:space="preserve">    AV-JACK/AV-TEL-SUP/AV-CTEL</t>
  </si>
  <si>
    <t>This Battery Calc form is used for the Advanced Firefighter Phone Products</t>
  </si>
  <si>
    <t>Total Load (Quiescent + Active) =</t>
  </si>
  <si>
    <t>Select and fill in all pertinent YELLOW cells/areas</t>
  </si>
  <si>
    <t>03</t>
  </si>
  <si>
    <t>Pull Stations</t>
  </si>
  <si>
    <t>M26</t>
  </si>
  <si>
    <t>MB-SDRT-AA</t>
  </si>
  <si>
    <t>4-Wire Multflex Sounder Base</t>
  </si>
  <si>
    <t>Remote LED Drive Output</t>
  </si>
  <si>
    <t>55000-805/806ADV</t>
  </si>
  <si>
    <t>Monitor Module (Standard and/or Priority)</t>
  </si>
  <si>
    <t>55000-820/859ADV</t>
  </si>
  <si>
    <t>24VDC and or 120VAC I/O Module</t>
  </si>
  <si>
    <t>Mini Montior Module (Standard and/or Priority)</t>
  </si>
  <si>
    <t>Loop Isolator</t>
  </si>
  <si>
    <t>M16</t>
  </si>
  <si>
    <t>M13</t>
  </si>
  <si>
    <t>M17</t>
  </si>
  <si>
    <t xml:space="preserve">    -24V Sounder Power</t>
  </si>
  <si>
    <t>Open Area Sounders and Beacons</t>
  </si>
  <si>
    <t xml:space="preserve">    -LED Output</t>
  </si>
  <si>
    <t>AX-APS2-F1/F2</t>
  </si>
  <si>
    <t># of Active LEDs/Loop</t>
  </si>
  <si>
    <t>4-Wire MultFlex Sounder Base</t>
  </si>
  <si>
    <t>One (1) Loop FACP Battery Standby Calculation Chart</t>
  </si>
  <si>
    <t>Two (2) Loop FACP Battery Standby Calculation Chart</t>
  </si>
  <si>
    <t>Four (4) Loop FACP Battery Standby Calculation Chart</t>
  </si>
  <si>
    <t>AV-AMP-80 Amplifier Battery Standby Calculation Chart</t>
  </si>
  <si>
    <t>AV-VB Audio Booster Battery Standby Calculation Chart</t>
  </si>
  <si>
    <t>Firefighter Phone Product Battery Standby Calculation Chart</t>
  </si>
  <si>
    <t>24VDC and/or 120VAC I/O Module</t>
  </si>
  <si>
    <t>Battery Required (includes battery derating factor) =</t>
  </si>
  <si>
    <t xml:space="preserve">Note:  Enter total NAC circuit wiring distance from panel to last notification appliance circuit, for Class A </t>
  </si>
  <si>
    <t xml:space="preserve">            total distance is wiring out to the devices and back to the FACP.</t>
  </si>
  <si>
    <t>SLC Intelligent/Addressable Loop Devices</t>
  </si>
  <si>
    <t>SLC Intelligent/Addressable Loop Current Draw</t>
  </si>
  <si>
    <t>This Battery Calc form is used for the AV-AMP-80 Audio Amplifer used</t>
  </si>
  <si>
    <t>in AX-CTL-1V, 2V, 4V, AX-CC[x]-16 and Modular Command Centers.</t>
  </si>
  <si>
    <t>Amplifier 1 (Maximum 40 Watts)</t>
  </si>
  <si>
    <t>Amplifier 2 (Maximum 40 Watts)</t>
  </si>
  <si>
    <t>AX-PSU-6 Power Supply/Charger Battery Standby Calculation Chart</t>
  </si>
  <si>
    <t xml:space="preserve">         Alarm Currents as required, remembering not exceed the 5 Amp Max.  In addition, the AX-PSU-6 provides the charging for the required batteries.</t>
  </si>
  <si>
    <t>Note:  The AX-PSU-6 power supply/charge can supply up to 5 Amps of power for fire alarm installation usage.  In the above chart, add Quiescent and</t>
  </si>
  <si>
    <t>This Battery Calc form is used for AX-PSU Power suply requirements</t>
  </si>
  <si>
    <t>Max Battery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</si>
</sst>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mmmm\ d\,\ yyyy"/>
  </numFmts>
  <fonts count="17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sz val="10"/>
      <color indexed="22"/>
      <name val="Arial"/>
      <family val="2"/>
    </font>
    <font>
      <b/>
      <sz val="9.3000000000000007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color theme="0"/>
      <name val="Arial"/>
      <family val="2"/>
    </font>
    <font>
      <sz val="10"/>
      <color rgb="FFC00000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1" fontId="0" fillId="2" borderId="1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1" fillId="0" borderId="1" xfId="0" applyNumberFormat="1" applyFont="1" applyBorder="1"/>
    <xf numFmtId="164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0" borderId="1" xfId="0" applyNumberFormat="1" applyBorder="1"/>
    <xf numFmtId="0" fontId="12" fillId="2" borderId="1" xfId="0" applyFon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left"/>
      <protection locked="0"/>
    </xf>
    <xf numFmtId="0" fontId="6" fillId="2" borderId="1" xfId="0" applyFont="1" applyFill="1" applyBorder="1" applyProtection="1">
      <protection locked="0"/>
    </xf>
    <xf numFmtId="0" fontId="0" fillId="4" borderId="3" xfId="0" applyFill="1" applyBorder="1"/>
    <xf numFmtId="0" fontId="4" fillId="4" borderId="3" xfId="0" applyFont="1" applyFill="1" applyBorder="1"/>
    <xf numFmtId="0" fontId="3" fillId="4" borderId="3" xfId="0" applyFont="1" applyFill="1" applyBorder="1"/>
    <xf numFmtId="0" fontId="3" fillId="4" borderId="3" xfId="0" applyFont="1" applyFill="1" applyBorder="1" applyAlignment="1">
      <alignment horizontal="center"/>
    </xf>
    <xf numFmtId="165" fontId="0" fillId="4" borderId="3" xfId="0" applyNumberFormat="1" applyFill="1" applyBorder="1"/>
    <xf numFmtId="2" fontId="0" fillId="4" borderId="3" xfId="0" applyNumberFormat="1" applyFill="1" applyBorder="1" applyAlignment="1">
      <alignment horizontal="right"/>
    </xf>
    <xf numFmtId="0" fontId="0" fillId="4" borderId="4" xfId="0" applyFill="1" applyBorder="1"/>
    <xf numFmtId="0" fontId="0" fillId="4" borderId="0" xfId="0" applyFill="1"/>
    <xf numFmtId="0" fontId="4" fillId="4" borderId="0" xfId="0" applyFont="1" applyFill="1"/>
    <xf numFmtId="0" fontId="3" fillId="4" borderId="0" xfId="0" applyFont="1" applyFill="1"/>
    <xf numFmtId="165" fontId="0" fillId="4" borderId="0" xfId="0" applyNumberFormat="1" applyFill="1"/>
    <xf numFmtId="2" fontId="0" fillId="4" borderId="0" xfId="0" applyNumberFormat="1" applyFill="1" applyAlignment="1">
      <alignment horizontal="right"/>
    </xf>
    <xf numFmtId="0" fontId="0" fillId="4" borderId="5" xfId="0" applyFill="1" applyBorder="1"/>
    <xf numFmtId="0" fontId="5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" fontId="13" fillId="3" borderId="1" xfId="0" applyNumberFormat="1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1" fontId="14" fillId="4" borderId="0" xfId="0" applyNumberFormat="1" applyFont="1" applyFill="1"/>
    <xf numFmtId="0" fontId="4" fillId="4" borderId="0" xfId="0" applyFont="1" applyFill="1" applyAlignment="1">
      <alignment horizontal="center" wrapText="1"/>
    </xf>
    <xf numFmtId="0" fontId="2" fillId="4" borderId="9" xfId="0" applyFont="1" applyFill="1" applyBorder="1"/>
    <xf numFmtId="0" fontId="3" fillId="0" borderId="1" xfId="0" applyFont="1" applyBorder="1"/>
    <xf numFmtId="0" fontId="4" fillId="4" borderId="3" xfId="0" applyFont="1" applyFill="1" applyBorder="1" applyAlignment="1">
      <alignment horizontal="center"/>
    </xf>
    <xf numFmtId="0" fontId="3" fillId="0" borderId="10" xfId="0" applyFont="1" applyBorder="1"/>
    <xf numFmtId="0" fontId="0" fillId="0" borderId="1" xfId="0" applyBorder="1"/>
    <xf numFmtId="0" fontId="3" fillId="0" borderId="11" xfId="0" applyFont="1" applyBorder="1" applyAlignment="1">
      <alignment horizontal="center"/>
    </xf>
    <xf numFmtId="0" fontId="3" fillId="4" borderId="0" xfId="0" applyFont="1" applyFill="1" applyAlignment="1">
      <alignment horizontal="center" wrapText="1"/>
    </xf>
    <xf numFmtId="0" fontId="2" fillId="4" borderId="0" xfId="0" applyFont="1" applyFill="1"/>
    <xf numFmtId="0" fontId="4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horizontal="center"/>
    </xf>
    <xf numFmtId="164" fontId="4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9" fillId="4" borderId="0" xfId="0" applyFont="1" applyFill="1"/>
    <xf numFmtId="0" fontId="0" fillId="4" borderId="0" xfId="0" applyFill="1" applyAlignment="1">
      <alignment horizontal="center"/>
    </xf>
    <xf numFmtId="1" fontId="0" fillId="4" borderId="0" xfId="0" applyNumberFormat="1" applyFill="1"/>
    <xf numFmtId="1" fontId="4" fillId="0" borderId="1" xfId="0" applyNumberFormat="1" applyFont="1" applyBorder="1"/>
    <xf numFmtId="0" fontId="5" fillId="0" borderId="1" xfId="0" applyFont="1" applyBorder="1"/>
    <xf numFmtId="0" fontId="4" fillId="0" borderId="12" xfId="0" applyFont="1" applyBorder="1"/>
    <xf numFmtId="2" fontId="0" fillId="0" borderId="1" xfId="0" applyNumberFormat="1" applyBorder="1"/>
    <xf numFmtId="0" fontId="9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0" fontId="4" fillId="0" borderId="12" xfId="0" applyFont="1" applyBorder="1" applyAlignment="1">
      <alignment horizontal="left"/>
    </xf>
    <xf numFmtId="0" fontId="0" fillId="5" borderId="1" xfId="0" applyFill="1" applyBorder="1"/>
    <xf numFmtId="1" fontId="6" fillId="0" borderId="1" xfId="0" applyNumberFormat="1" applyFont="1" applyBorder="1"/>
    <xf numFmtId="0" fontId="0" fillId="0" borderId="10" xfId="0" applyBorder="1"/>
    <xf numFmtId="164" fontId="0" fillId="0" borderId="1" xfId="0" applyNumberFormat="1" applyBorder="1" applyAlignment="1">
      <alignment horizontal="right"/>
    </xf>
    <xf numFmtId="2" fontId="3" fillId="4" borderId="0" xfId="0" applyNumberFormat="1" applyFont="1" applyFill="1"/>
    <xf numFmtId="2" fontId="0" fillId="4" borderId="0" xfId="0" applyNumberFormat="1" applyFill="1"/>
    <xf numFmtId="0" fontId="0" fillId="4" borderId="1" xfId="0" applyFill="1" applyBorder="1"/>
    <xf numFmtId="164" fontId="0" fillId="4" borderId="1" xfId="0" applyNumberFormat="1" applyFill="1" applyBorder="1"/>
    <xf numFmtId="2" fontId="4" fillId="4" borderId="0" xfId="0" applyNumberFormat="1" applyFont="1" applyFill="1"/>
    <xf numFmtId="0" fontId="5" fillId="0" borderId="10" xfId="0" applyFont="1" applyBorder="1"/>
    <xf numFmtId="165" fontId="4" fillId="0" borderId="13" xfId="0" applyNumberFormat="1" applyFont="1" applyBorder="1"/>
    <xf numFmtId="164" fontId="0" fillId="0" borderId="13" xfId="0" applyNumberFormat="1" applyBorder="1"/>
    <xf numFmtId="0" fontId="0" fillId="0" borderId="13" xfId="0" applyBorder="1" applyAlignment="1">
      <alignment horizontal="right"/>
    </xf>
    <xf numFmtId="2" fontId="4" fillId="0" borderId="10" xfId="0" applyNumberFormat="1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0" fontId="4" fillId="0" borderId="12" xfId="0" applyFon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2" fontId="0" fillId="0" borderId="14" xfId="0" applyNumberFormat="1" applyBorder="1" applyAlignment="1">
      <alignment horizontal="right"/>
    </xf>
    <xf numFmtId="1" fontId="0" fillId="4" borderId="1" xfId="0" applyNumberFormat="1" applyFill="1" applyBorder="1"/>
    <xf numFmtId="0" fontId="14" fillId="4" borderId="0" xfId="0" applyFont="1" applyFill="1"/>
    <xf numFmtId="2" fontId="3" fillId="6" borderId="15" xfId="0" applyNumberFormat="1" applyFont="1" applyFill="1" applyBorder="1" applyAlignment="1">
      <alignment horizontal="right"/>
    </xf>
    <xf numFmtId="0" fontId="15" fillId="4" borderId="0" xfId="0" applyFont="1" applyFill="1"/>
    <xf numFmtId="164" fontId="0" fillId="7" borderId="1" xfId="0" applyNumberFormat="1" applyFill="1" applyBorder="1"/>
    <xf numFmtId="164" fontId="0" fillId="4" borderId="9" xfId="0" applyNumberFormat="1" applyFill="1" applyBorder="1"/>
    <xf numFmtId="0" fontId="0" fillId="4" borderId="0" xfId="0" applyFill="1" applyAlignment="1">
      <alignment horizontal="right"/>
    </xf>
    <xf numFmtId="1" fontId="7" fillId="4" borderId="0" xfId="0" applyNumberFormat="1" applyFont="1" applyFill="1"/>
    <xf numFmtId="0" fontId="0" fillId="0" borderId="1" xfId="0" applyBorder="1" applyAlignment="1">
      <alignment vertical="top"/>
    </xf>
    <xf numFmtId="0" fontId="0" fillId="4" borderId="16" xfId="0" applyFill="1" applyBorder="1"/>
    <xf numFmtId="49" fontId="4" fillId="4" borderId="4" xfId="0" applyNumberFormat="1" applyFont="1" applyFill="1" applyBorder="1"/>
    <xf numFmtId="0" fontId="0" fillId="4" borderId="17" xfId="0" applyFill="1" applyBorder="1"/>
    <xf numFmtId="164" fontId="0" fillId="4" borderId="0" xfId="0" applyNumberFormat="1" applyFill="1"/>
    <xf numFmtId="164" fontId="14" fillId="4" borderId="0" xfId="0" applyNumberFormat="1" applyFont="1" applyFill="1"/>
    <xf numFmtId="1" fontId="12" fillId="0" borderId="1" xfId="0" applyNumberFormat="1" applyFont="1" applyBorder="1"/>
    <xf numFmtId="0" fontId="0" fillId="0" borderId="13" xfId="0" applyBorder="1" applyAlignment="1">
      <alignment horizontal="left"/>
    </xf>
    <xf numFmtId="2" fontId="3" fillId="4" borderId="0" xfId="0" applyNumberFormat="1" applyFont="1" applyFill="1" applyAlignment="1">
      <alignment horizontal="right"/>
    </xf>
    <xf numFmtId="0" fontId="0" fillId="4" borderId="18" xfId="0" applyFill="1" applyBorder="1" applyAlignment="1">
      <alignment vertical="top"/>
    </xf>
    <xf numFmtId="0" fontId="0" fillId="4" borderId="0" xfId="0" applyFill="1" applyAlignment="1">
      <alignment vertical="top"/>
    </xf>
    <xf numFmtId="49" fontId="4" fillId="4" borderId="5" xfId="0" applyNumberFormat="1" applyFont="1" applyFill="1" applyBorder="1"/>
    <xf numFmtId="49" fontId="4" fillId="4" borderId="4" xfId="0" applyNumberFormat="1" applyFont="1" applyFill="1" applyBorder="1" applyAlignment="1">
      <alignment horizontal="center"/>
    </xf>
    <xf numFmtId="164" fontId="13" fillId="3" borderId="1" xfId="0" applyNumberFormat="1" applyFont="1" applyFill="1" applyBorder="1" applyProtection="1">
      <protection locked="0"/>
    </xf>
    <xf numFmtId="0" fontId="12" fillId="3" borderId="1" xfId="0" applyFont="1" applyFill="1" applyBorder="1" applyProtection="1">
      <protection locked="0"/>
    </xf>
    <xf numFmtId="1" fontId="4" fillId="4" borderId="1" xfId="0" applyNumberFormat="1" applyFont="1" applyFill="1" applyBorder="1"/>
    <xf numFmtId="164" fontId="13" fillId="0" borderId="1" xfId="0" applyNumberFormat="1" applyFont="1" applyBorder="1"/>
    <xf numFmtId="0" fontId="4" fillId="0" borderId="19" xfId="0" applyFont="1" applyBorder="1"/>
    <xf numFmtId="0" fontId="0" fillId="0" borderId="12" xfId="0" applyBorder="1"/>
    <xf numFmtId="0" fontId="4" fillId="0" borderId="20" xfId="0" applyFont="1" applyBorder="1"/>
    <xf numFmtId="0" fontId="0" fillId="4" borderId="2" xfId="0" applyFill="1" applyBorder="1"/>
    <xf numFmtId="0" fontId="0" fillId="4" borderId="12" xfId="0" applyFill="1" applyBorder="1"/>
    <xf numFmtId="0" fontId="0" fillId="0" borderId="21" xfId="0" applyBorder="1"/>
    <xf numFmtId="0" fontId="4" fillId="0" borderId="21" xfId="0" applyFont="1" applyBorder="1" applyAlignment="1">
      <alignment horizontal="center"/>
    </xf>
    <xf numFmtId="0" fontId="0" fillId="4" borderId="21" xfId="0" applyFill="1" applyBorder="1"/>
    <xf numFmtId="0" fontId="0" fillId="4" borderId="3" xfId="0" applyFill="1" applyBorder="1" applyAlignment="1">
      <alignment vertical="top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13" fillId="3" borderId="1" xfId="0" applyFont="1" applyFill="1" applyBorder="1" applyProtection="1">
      <protection locked="0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0" fillId="0" borderId="0" xfId="0" applyNumberFormat="1"/>
    <xf numFmtId="0" fontId="3" fillId="4" borderId="0" xfId="0" applyFont="1" applyFill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16" fillId="0" borderId="0" xfId="0" applyFont="1"/>
    <xf numFmtId="164" fontId="14" fillId="0" borderId="0" xfId="0" applyNumberFormat="1" applyFont="1"/>
    <xf numFmtId="2" fontId="14" fillId="0" borderId="0" xfId="0" applyNumberFormat="1" applyFont="1"/>
    <xf numFmtId="0" fontId="5" fillId="0" borderId="1" xfId="0" applyFont="1" applyBorder="1" applyProtection="1">
      <protection locked="0"/>
    </xf>
    <xf numFmtId="164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1" fontId="6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0" fillId="4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" fontId="6" fillId="4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9" fillId="4" borderId="1" xfId="0" applyFont="1" applyFill="1" applyBorder="1"/>
    <xf numFmtId="164" fontId="4" fillId="4" borderId="1" xfId="0" applyNumberFormat="1" applyFont="1" applyFill="1" applyBorder="1"/>
    <xf numFmtId="0" fontId="0" fillId="4" borderId="1" xfId="0" applyFill="1" applyBorder="1" applyAlignment="1">
      <alignment horizontal="center"/>
    </xf>
    <xf numFmtId="164" fontId="13" fillId="4" borderId="1" xfId="0" applyNumberFormat="1" applyFont="1" applyFill="1" applyBorder="1" applyProtection="1">
      <protection locked="0"/>
    </xf>
    <xf numFmtId="1" fontId="4" fillId="4" borderId="1" xfId="0" applyNumberFormat="1" applyFont="1" applyFill="1" applyBorder="1" applyProtection="1">
      <protection locked="0"/>
    </xf>
    <xf numFmtId="1" fontId="4" fillId="0" borderId="1" xfId="0" applyNumberFormat="1" applyFont="1" applyBorder="1" applyProtection="1">
      <protection locked="0"/>
    </xf>
    <xf numFmtId="164" fontId="13" fillId="0" borderId="1" xfId="0" applyNumberFormat="1" applyFont="1" applyBorder="1" applyProtection="1">
      <protection locked="0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0" fillId="0" borderId="21" xfId="0" applyBorder="1" applyAlignment="1">
      <alignment horizontal="right"/>
    </xf>
    <xf numFmtId="0" fontId="3" fillId="3" borderId="2" xfId="0" applyFont="1" applyFill="1" applyBorder="1" applyAlignment="1" applyProtection="1">
      <alignment vertical="top"/>
      <protection locked="0"/>
    </xf>
    <xf numFmtId="0" fontId="0" fillId="3" borderId="21" xfId="0" applyFill="1" applyBorder="1" applyAlignment="1" applyProtection="1">
      <alignment vertical="top"/>
      <protection locked="0"/>
    </xf>
    <xf numFmtId="0" fontId="0" fillId="3" borderId="12" xfId="0" applyFill="1" applyBorder="1" applyAlignment="1" applyProtection="1">
      <alignment vertical="top"/>
      <protection locked="0"/>
    </xf>
    <xf numFmtId="0" fontId="4" fillId="3" borderId="2" xfId="0" applyFont="1" applyFill="1" applyBorder="1" applyAlignment="1" applyProtection="1">
      <alignment vertical="top"/>
      <protection locked="0"/>
    </xf>
    <xf numFmtId="166" fontId="4" fillId="3" borderId="2" xfId="0" applyNumberFormat="1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3" fillId="0" borderId="19" xfId="0" applyFont="1" applyBorder="1" applyAlignment="1">
      <alignment horizontal="center"/>
    </xf>
    <xf numFmtId="0" fontId="0" fillId="0" borderId="22" xfId="0" applyBorder="1" applyAlignment="1" applyProtection="1">
      <alignment horizontal="center" vertical="top"/>
      <protection locked="0"/>
    </xf>
    <xf numFmtId="0" fontId="0" fillId="0" borderId="17" xfId="0" applyBorder="1" applyAlignment="1" applyProtection="1">
      <alignment horizontal="center" vertical="top"/>
      <protection locked="0"/>
    </xf>
    <xf numFmtId="0" fontId="0" fillId="0" borderId="14" xfId="0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24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2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2" xfId="0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8" borderId="2" xfId="0" applyFont="1" applyFill="1" applyBorder="1" applyAlignment="1">
      <alignment horizontal="left" indent="4"/>
    </xf>
    <xf numFmtId="0" fontId="4" fillId="8" borderId="12" xfId="0" applyFont="1" applyFill="1" applyBorder="1" applyAlignment="1">
      <alignment horizontal="left" indent="4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1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4" fillId="0" borderId="12" xfId="0" applyFont="1" applyBorder="1" applyProtection="1">
      <protection locked="0"/>
    </xf>
    <xf numFmtId="0" fontId="0" fillId="0" borderId="25" xfId="0" applyBorder="1" applyAlignment="1">
      <alignment horizontal="right"/>
    </xf>
    <xf numFmtId="0" fontId="5" fillId="0" borderId="22" xfId="0" applyFont="1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  <xf numFmtId="0" fontId="0" fillId="0" borderId="20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164" fontId="4" fillId="5" borderId="22" xfId="0" applyNumberFormat="1" applyFont="1" applyFill="1" applyBorder="1" applyAlignment="1">
      <alignment horizontal="right" vertical="center"/>
    </xf>
    <xf numFmtId="164" fontId="4" fillId="5" borderId="14" xfId="0" applyNumberFormat="1" applyFont="1" applyFill="1" applyBorder="1" applyAlignment="1">
      <alignment horizontal="right" vertical="center"/>
    </xf>
    <xf numFmtId="164" fontId="4" fillId="5" borderId="19" xfId="0" applyNumberFormat="1" applyFont="1" applyFill="1" applyBorder="1" applyAlignment="1">
      <alignment horizontal="right" vertical="center"/>
    </xf>
    <xf numFmtId="164" fontId="4" fillId="5" borderId="13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2" xfId="0" applyFill="1" applyBorder="1" applyAlignment="1">
      <alignment horizontal="left" vertical="top"/>
    </xf>
    <xf numFmtId="0" fontId="0" fillId="4" borderId="12" xfId="0" applyFill="1" applyBorder="1" applyAlignment="1">
      <alignment horizontal="left" vertical="top"/>
    </xf>
    <xf numFmtId="164" fontId="13" fillId="0" borderId="2" xfId="0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165" fontId="0" fillId="3" borderId="2" xfId="0" applyNumberFormat="1" applyFill="1" applyBorder="1" applyAlignment="1" applyProtection="1">
      <alignment horizontal="center"/>
      <protection locked="0"/>
    </xf>
    <xf numFmtId="165" fontId="0" fillId="3" borderId="21" xfId="0" applyNumberFormat="1" applyFill="1" applyBorder="1" applyAlignment="1" applyProtection="1">
      <alignment horizontal="center"/>
      <protection locked="0"/>
    </xf>
    <xf numFmtId="165" fontId="0" fillId="3" borderId="12" xfId="0" applyNumberForma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3" fillId="0" borderId="21" xfId="0" applyFont="1" applyBorder="1" applyAlignment="1">
      <alignment horizontal="center"/>
    </xf>
  </cellXfs>
  <cellStyles count="1">
    <cellStyle name="Normal" xfId="0" builtinId="0"/>
  </cellStyles>
  <dxfs count="60">
    <dxf>
      <fill>
        <patternFill>
          <bgColor rgb="FFC00000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rgb="FFC00000"/>
        </patternFill>
      </fill>
    </dxf>
    <dxf>
      <font>
        <b val="0"/>
        <i val="0"/>
        <color auto="1"/>
      </font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rgb="FFC00000"/>
        </patternFill>
      </fill>
    </dxf>
    <dxf>
      <font>
        <b val="0"/>
        <i val="0"/>
        <color auto="1"/>
      </font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2451100</xdr:colOff>
      <xdr:row>49</xdr:row>
      <xdr:rowOff>139700</xdr:rowOff>
    </xdr:from>
    <xdr:to>
      <xdr:col>15</xdr:col>
      <xdr:colOff>127000</xdr:colOff>
      <xdr:row>52</xdr:row>
      <xdr:rowOff>152400</xdr:rowOff>
    </xdr:to>
    <xdr:pic>
      <xdr:nvPicPr>
        <xdr:cNvPr id="3466" name="Picture 63">
          <a:extLst>
            <a:ext uri="{FF2B5EF4-FFF2-40B4-BE49-F238E27FC236}">
              <a16:creationId xmlns:a16="http://schemas.microsoft.com/office/drawing/2014/main" id="{037692BF-F54B-9A0E-0154-19AFE4710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8623300"/>
          <a:ext cx="248920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305777</xdr:colOff>
      <xdr:row>51</xdr:row>
      <xdr:rowOff>31401</xdr:rowOff>
    </xdr:from>
    <xdr:to>
      <xdr:col>25</xdr:col>
      <xdr:colOff>201108</xdr:colOff>
      <xdr:row>54</xdr:row>
      <xdr:rowOff>10467</xdr:rowOff>
    </xdr:to>
    <xdr:sp macro="[0]!axctl1printing" textlink="">
      <xdr:nvSpPr>
        <xdr:cNvPr id="3" name="Rectangle 2">
          <a:extLst>
            <a:ext uri="{FF2B5EF4-FFF2-40B4-BE49-F238E27FC236}">
              <a16:creationId xmlns:a16="http://schemas.microsoft.com/office/drawing/2014/main" id="{FDDB9731-40FD-1E64-ED2D-B625E22FEF5A}"/>
            </a:ext>
          </a:extLst>
        </xdr:cNvPr>
        <xdr:cNvSpPr/>
      </xdr:nvSpPr>
      <xdr:spPr bwMode="auto">
        <a:xfrm>
          <a:off x="18003297" y="8656236"/>
          <a:ext cx="1329314" cy="450083"/>
        </a:xfrm>
        <a:prstGeom prst="rect">
          <a:avLst/>
        </a:prstGeom>
        <a:solidFill>
          <a:srgbClr val="FFFF99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/>
            <a:t>Print AX-CTL</a:t>
          </a:r>
          <a:r>
            <a:rPr lang="en-US" sz="1200" b="1" baseline="0"/>
            <a:t> </a:t>
          </a:r>
          <a:r>
            <a:rPr lang="en-US" sz="1200" b="1"/>
            <a:t>1 Loop</a:t>
          </a:r>
        </a:p>
        <a:p>
          <a:pPr algn="ctr"/>
          <a:r>
            <a:rPr lang="en-US" sz="1200" b="1"/>
            <a:t>Sheets (3)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50</xdr:row>
      <xdr:rowOff>6350</xdr:rowOff>
    </xdr:from>
    <xdr:to>
      <xdr:col>16</xdr:col>
      <xdr:colOff>196850</xdr:colOff>
      <xdr:row>53</xdr:row>
      <xdr:rowOff>19050</xdr:rowOff>
    </xdr:to>
    <xdr:pic>
      <xdr:nvPicPr>
        <xdr:cNvPr id="7369" name="Picture 63">
          <a:extLst>
            <a:ext uri="{FF2B5EF4-FFF2-40B4-BE49-F238E27FC236}">
              <a16:creationId xmlns:a16="http://schemas.microsoft.com/office/drawing/2014/main" id="{1AEF83B0-D3CA-6384-B4FD-05F052C3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1300" y="8610600"/>
          <a:ext cx="248920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563336</xdr:colOff>
      <xdr:row>50</xdr:row>
      <xdr:rowOff>136071</xdr:rowOff>
    </xdr:from>
    <xdr:to>
      <xdr:col>27</xdr:col>
      <xdr:colOff>416797</xdr:colOff>
      <xdr:row>53</xdr:row>
      <xdr:rowOff>160493</xdr:rowOff>
    </xdr:to>
    <xdr:sp macro="[0]!axctl2printing" textlink="">
      <xdr:nvSpPr>
        <xdr:cNvPr id="3" name="Rectangle 2">
          <a:extLst>
            <a:ext uri="{FF2B5EF4-FFF2-40B4-BE49-F238E27FC236}">
              <a16:creationId xmlns:a16="http://schemas.microsoft.com/office/drawing/2014/main" id="{795FCE6D-AF9C-0B48-DA41-B58E8D5A9DC2}"/>
            </a:ext>
          </a:extLst>
        </xdr:cNvPr>
        <xdr:cNvSpPr/>
      </xdr:nvSpPr>
      <xdr:spPr bwMode="auto">
        <a:xfrm>
          <a:off x="18798791" y="8562033"/>
          <a:ext cx="1287445" cy="491950"/>
        </a:xfrm>
        <a:prstGeom prst="rect">
          <a:avLst/>
        </a:prstGeom>
        <a:solidFill>
          <a:srgbClr val="FFFF99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/>
            <a:t>Print</a:t>
          </a:r>
          <a:r>
            <a:rPr lang="en-US" sz="1200" b="1" baseline="0"/>
            <a:t> AX-CTL 2 Loop</a:t>
          </a:r>
        </a:p>
        <a:p>
          <a:pPr algn="ctr"/>
          <a:r>
            <a:rPr lang="en-US" sz="1200" b="1" baseline="0"/>
            <a:t>Sheets (3)</a:t>
          </a:r>
          <a:endParaRPr lang="en-US" sz="1200" b="1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158750</xdr:colOff>
      <xdr:row>50</xdr:row>
      <xdr:rowOff>25400</xdr:rowOff>
    </xdr:from>
    <xdr:to>
      <xdr:col>18</xdr:col>
      <xdr:colOff>139700</xdr:colOff>
      <xdr:row>53</xdr:row>
      <xdr:rowOff>38100</xdr:rowOff>
    </xdr:to>
    <xdr:pic>
      <xdr:nvPicPr>
        <xdr:cNvPr id="8418" name="Picture 63">
          <a:extLst>
            <a:ext uri="{FF2B5EF4-FFF2-40B4-BE49-F238E27FC236}">
              <a16:creationId xmlns:a16="http://schemas.microsoft.com/office/drawing/2014/main" id="{FF3D073F-9F7B-D45C-E75E-A26888A2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8686800"/>
          <a:ext cx="2482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121487</xdr:colOff>
      <xdr:row>50</xdr:row>
      <xdr:rowOff>73269</xdr:rowOff>
    </xdr:from>
    <xdr:to>
      <xdr:col>28</xdr:col>
      <xdr:colOff>10473</xdr:colOff>
      <xdr:row>53</xdr:row>
      <xdr:rowOff>125604</xdr:rowOff>
    </xdr:to>
    <xdr:sp macro="[0]!axctl4printing" textlink="">
      <xdr:nvSpPr>
        <xdr:cNvPr id="3" name="Rectangle 2">
          <a:extLst>
            <a:ext uri="{FF2B5EF4-FFF2-40B4-BE49-F238E27FC236}">
              <a16:creationId xmlns:a16="http://schemas.microsoft.com/office/drawing/2014/main" id="{58DA5387-D49B-8BC3-FFA2-72A8B916EDD9}"/>
            </a:ext>
          </a:extLst>
        </xdr:cNvPr>
        <xdr:cNvSpPr/>
      </xdr:nvSpPr>
      <xdr:spPr bwMode="auto">
        <a:xfrm>
          <a:off x="19437280" y="8499231"/>
          <a:ext cx="1329313" cy="523351"/>
        </a:xfrm>
        <a:prstGeom prst="rect">
          <a:avLst/>
        </a:prstGeom>
        <a:solidFill>
          <a:srgbClr val="FFFF99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/>
            <a:t>Print AX-CTL 4 Loop</a:t>
          </a:r>
        </a:p>
        <a:p>
          <a:pPr algn="ctr"/>
          <a:r>
            <a:rPr lang="en-US" sz="1200" b="1"/>
            <a:t>Sheets (3)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101600</xdr:colOff>
      <xdr:row>36</xdr:row>
      <xdr:rowOff>44450</xdr:rowOff>
    </xdr:from>
    <xdr:to>
      <xdr:col>10</xdr:col>
      <xdr:colOff>571500</xdr:colOff>
      <xdr:row>38</xdr:row>
      <xdr:rowOff>57150</xdr:rowOff>
    </xdr:to>
    <xdr:pic>
      <xdr:nvPicPr>
        <xdr:cNvPr id="6438" name="Picture 63">
          <a:extLst>
            <a:ext uri="{FF2B5EF4-FFF2-40B4-BE49-F238E27FC236}">
              <a16:creationId xmlns:a16="http://schemas.microsoft.com/office/drawing/2014/main" id="{D5811445-A181-CC45-ACEE-E865F5B0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975350"/>
          <a:ext cx="17526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130175</xdr:colOff>
      <xdr:row>36</xdr:row>
      <xdr:rowOff>76200</xdr:rowOff>
    </xdr:from>
    <xdr:to>
      <xdr:col>1</xdr:col>
      <xdr:colOff>717617</xdr:colOff>
      <xdr:row>39</xdr:row>
      <xdr:rowOff>60368</xdr:rowOff>
    </xdr:to>
    <xdr:sp macro="[0]!avamp80printing" textlink="">
      <xdr:nvSpPr>
        <xdr:cNvPr id="3" name="Rectangle 2">
          <a:extLst>
            <a:ext uri="{FF2B5EF4-FFF2-40B4-BE49-F238E27FC236}">
              <a16:creationId xmlns:a16="http://schemas.microsoft.com/office/drawing/2014/main" id="{23388354-3D10-1351-867A-4977A1348F01}"/>
            </a:ext>
          </a:extLst>
        </xdr:cNvPr>
        <xdr:cNvSpPr/>
      </xdr:nvSpPr>
      <xdr:spPr bwMode="auto">
        <a:xfrm>
          <a:off x="123825" y="6096000"/>
          <a:ext cx="1171575" cy="476250"/>
        </a:xfrm>
        <a:prstGeom prst="rect">
          <a:avLst/>
        </a:prstGeom>
        <a:solidFill>
          <a:srgbClr val="FFFF99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/>
            <a:t>Print AV-AMP-80</a:t>
          </a:r>
        </a:p>
        <a:p>
          <a:pPr algn="ctr"/>
          <a:r>
            <a:rPr lang="en-US" sz="1200" b="1"/>
            <a:t>Sheet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139700</xdr:colOff>
      <xdr:row>36</xdr:row>
      <xdr:rowOff>25400</xdr:rowOff>
    </xdr:from>
    <xdr:to>
      <xdr:col>10</xdr:col>
      <xdr:colOff>609600</xdr:colOff>
      <xdr:row>38</xdr:row>
      <xdr:rowOff>38100</xdr:rowOff>
    </xdr:to>
    <xdr:pic>
      <xdr:nvPicPr>
        <xdr:cNvPr id="9382" name="Picture 63">
          <a:extLst>
            <a:ext uri="{FF2B5EF4-FFF2-40B4-BE49-F238E27FC236}">
              <a16:creationId xmlns:a16="http://schemas.microsoft.com/office/drawing/2014/main" id="{66313300-6B7D-1722-EA39-9BB3DEDE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250" y="5949950"/>
          <a:ext cx="17526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36</xdr:row>
      <xdr:rowOff>76200</xdr:rowOff>
    </xdr:from>
    <xdr:to>
      <xdr:col>1</xdr:col>
      <xdr:colOff>746125</xdr:colOff>
      <xdr:row>39</xdr:row>
      <xdr:rowOff>76200</xdr:rowOff>
    </xdr:to>
    <xdr:sp macro="[0]!avvbprinting" textlink="">
      <xdr:nvSpPr>
        <xdr:cNvPr id="3" name="Rectangle 2">
          <a:extLst>
            <a:ext uri="{FF2B5EF4-FFF2-40B4-BE49-F238E27FC236}">
              <a16:creationId xmlns:a16="http://schemas.microsoft.com/office/drawing/2014/main" id="{E197FAAF-05EE-F026-17F0-96D1C9D56776}"/>
            </a:ext>
          </a:extLst>
        </xdr:cNvPr>
        <xdr:cNvSpPr/>
      </xdr:nvSpPr>
      <xdr:spPr bwMode="auto">
        <a:xfrm>
          <a:off x="104775" y="6096000"/>
          <a:ext cx="1219200" cy="485775"/>
        </a:xfrm>
        <a:prstGeom prst="rect">
          <a:avLst/>
        </a:prstGeom>
        <a:solidFill>
          <a:srgbClr val="FFFF99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/>
            <a:t>Print AV-VB</a:t>
          </a:r>
        </a:p>
        <a:p>
          <a:pPr algn="ctr"/>
          <a:r>
            <a:rPr lang="en-US" sz="1200" b="1"/>
            <a:t>Sheet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139700</xdr:colOff>
      <xdr:row>36</xdr:row>
      <xdr:rowOff>63500</xdr:rowOff>
    </xdr:from>
    <xdr:to>
      <xdr:col>10</xdr:col>
      <xdr:colOff>609600</xdr:colOff>
      <xdr:row>38</xdr:row>
      <xdr:rowOff>76200</xdr:rowOff>
    </xdr:to>
    <xdr:pic>
      <xdr:nvPicPr>
        <xdr:cNvPr id="5420" name="Picture 63">
          <a:extLst>
            <a:ext uri="{FF2B5EF4-FFF2-40B4-BE49-F238E27FC236}">
              <a16:creationId xmlns:a16="http://schemas.microsoft.com/office/drawing/2014/main" id="{BC9B42EA-6C7D-1851-352C-194C8A3A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6750" y="6026150"/>
          <a:ext cx="17526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36</xdr:row>
      <xdr:rowOff>60325</xdr:rowOff>
    </xdr:from>
    <xdr:to>
      <xdr:col>1</xdr:col>
      <xdr:colOff>781145</xdr:colOff>
      <xdr:row>39</xdr:row>
      <xdr:rowOff>76242</xdr:rowOff>
    </xdr:to>
    <xdr:sp macro="[0]!firefighterphoneprinting" textlink="">
      <xdr:nvSpPr>
        <xdr:cNvPr id="3" name="Rectangle 2">
          <a:extLst>
            <a:ext uri="{FF2B5EF4-FFF2-40B4-BE49-F238E27FC236}">
              <a16:creationId xmlns:a16="http://schemas.microsoft.com/office/drawing/2014/main" id="{31374688-4BD5-3C37-E991-CF716C09C702}"/>
            </a:ext>
          </a:extLst>
        </xdr:cNvPr>
        <xdr:cNvSpPr/>
      </xdr:nvSpPr>
      <xdr:spPr bwMode="auto">
        <a:xfrm>
          <a:off x="104775" y="6086475"/>
          <a:ext cx="1247775" cy="495300"/>
        </a:xfrm>
        <a:prstGeom prst="rect">
          <a:avLst/>
        </a:prstGeom>
        <a:solidFill>
          <a:srgbClr val="FFFF99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/>
            <a:t>Print Firefighter</a:t>
          </a:r>
        </a:p>
        <a:p>
          <a:pPr algn="ctr"/>
          <a:r>
            <a:rPr lang="en-US" sz="1200" b="1"/>
            <a:t>Phone Sheet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139700</xdr:colOff>
      <xdr:row>36</xdr:row>
      <xdr:rowOff>25400</xdr:rowOff>
    </xdr:from>
    <xdr:to>
      <xdr:col>10</xdr:col>
      <xdr:colOff>609600</xdr:colOff>
      <xdr:row>38</xdr:row>
      <xdr:rowOff>38100</xdr:rowOff>
    </xdr:to>
    <xdr:pic>
      <xdr:nvPicPr>
        <xdr:cNvPr id="10265" name="Picture 63">
          <a:extLst>
            <a:ext uri="{FF2B5EF4-FFF2-40B4-BE49-F238E27FC236}">
              <a16:creationId xmlns:a16="http://schemas.microsoft.com/office/drawing/2014/main" id="{F8684AD5-089E-7665-63DF-C03AEEE6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250" y="5949950"/>
          <a:ext cx="17526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36</xdr:row>
      <xdr:rowOff>76200</xdr:rowOff>
    </xdr:from>
    <xdr:to>
      <xdr:col>1</xdr:col>
      <xdr:colOff>746125</xdr:colOff>
      <xdr:row>39</xdr:row>
      <xdr:rowOff>76200</xdr:rowOff>
    </xdr:to>
    <xdr:sp macro="[0]!axpsu6printing" textlink="">
      <xdr:nvSpPr>
        <xdr:cNvPr id="3" name="Rectangle 2">
          <a:extLst>
            <a:ext uri="{FF2B5EF4-FFF2-40B4-BE49-F238E27FC236}">
              <a16:creationId xmlns:a16="http://schemas.microsoft.com/office/drawing/2014/main" id="{99F5EC1F-CA77-4530-1616-37E2210377B6}"/>
            </a:ext>
          </a:extLst>
        </xdr:cNvPr>
        <xdr:cNvSpPr/>
      </xdr:nvSpPr>
      <xdr:spPr bwMode="auto">
        <a:xfrm>
          <a:off x="104775" y="6096000"/>
          <a:ext cx="1219200" cy="485775"/>
        </a:xfrm>
        <a:prstGeom prst="rect">
          <a:avLst/>
        </a:prstGeom>
        <a:solidFill>
          <a:srgbClr val="FFFF99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200" b="1"/>
            <a:t>Print AX-PSU-6</a:t>
          </a:r>
        </a:p>
        <a:p>
          <a:pPr algn="ctr"/>
          <a:r>
            <a:rPr lang="en-US" sz="1200" b="1"/>
            <a:t>Sheet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F82"/>
  <sheetViews>
    <sheetView tabSelected="1" topLeftCell="A12" zoomScale="91" workbookViewId="0">
      <selection activeCell="C31" sqref="C31"/>
    </sheetView>
  </sheetViews>
  <sheetFormatPr defaultColWidth="9.1796875" defaultRowHeight="12.5" x14ac:dyDescent="0.25"/>
  <cols>
    <col min="1" max="1" width="5.54296875" customWidth="1"/>
    <col min="2" max="2" width="26.54296875" customWidth="1"/>
    <col min="3" max="3" width="17" bestFit="1" customWidth="1"/>
    <col min="4" max="4" width="5.7265625" customWidth="1"/>
    <col min="5" max="6" width="9.26953125" bestFit="1" customWidth="1"/>
    <col min="7" max="7" width="8.453125" customWidth="1"/>
    <col min="8" max="8" width="10.7265625" customWidth="1"/>
    <col min="9" max="9" width="5.54296875" customWidth="1"/>
    <col min="10" max="10" width="4.7265625" customWidth="1"/>
    <col min="11" max="11" width="19.453125" customWidth="1"/>
    <col min="12" max="12" width="41.81640625" customWidth="1"/>
    <col min="13" max="13" width="8.7265625" customWidth="1"/>
    <col min="15" max="15" width="9.1796875" customWidth="1"/>
    <col min="16" max="16" width="3.81640625" customWidth="1"/>
    <col min="17" max="17" width="4.453125" customWidth="1"/>
    <col min="18" max="18" width="14.81640625" customWidth="1"/>
    <col min="20" max="20" width="11" customWidth="1"/>
    <col min="23" max="23" width="13.1796875" customWidth="1"/>
    <col min="24" max="24" width="10.81640625" customWidth="1"/>
    <col min="25" max="25" width="10.7265625" customWidth="1"/>
    <col min="26" max="26" width="5.7265625" customWidth="1"/>
    <col min="29" max="30" width="9.1796875" style="19"/>
    <col min="31" max="31" width="4" style="19" customWidth="1"/>
    <col min="32" max="33" width="9.1796875" style="19" customWidth="1"/>
    <col min="34" max="34" width="9.1796875" style="19"/>
    <col min="35" max="36" width="10" customWidth="1"/>
    <col min="37" max="37" width="30.54296875" customWidth="1"/>
    <col min="38" max="39" width="9.81640625" customWidth="1"/>
    <col min="40" max="40" width="14.1796875" customWidth="1"/>
    <col min="41" max="42" width="9.1796875" customWidth="1"/>
    <col min="43" max="43" width="12.26953125" customWidth="1"/>
    <col min="44" max="44" width="9.1796875" customWidth="1"/>
  </cols>
  <sheetData>
    <row r="1" spans="1:44" ht="12.75" customHeight="1" x14ac:dyDescent="0.25">
      <c r="A1" s="150" t="s">
        <v>216</v>
      </c>
      <c r="B1" s="151"/>
      <c r="C1" s="151"/>
      <c r="D1" s="151"/>
      <c r="E1" s="151"/>
      <c r="F1" s="151"/>
      <c r="G1" s="151"/>
      <c r="H1" s="151"/>
      <c r="I1" s="152"/>
      <c r="J1" s="29"/>
      <c r="K1" s="30"/>
      <c r="L1" s="30"/>
      <c r="M1" s="30"/>
      <c r="N1" s="30"/>
      <c r="O1" s="30"/>
      <c r="P1" s="31"/>
      <c r="Q1" s="29"/>
      <c r="R1" s="30"/>
      <c r="S1" s="30"/>
      <c r="T1" s="30"/>
      <c r="U1" s="30"/>
      <c r="V1" s="30"/>
      <c r="W1" s="30"/>
      <c r="X1" s="30"/>
      <c r="Y1" s="30"/>
      <c r="Z1" s="31"/>
      <c r="AA1" s="19"/>
      <c r="AB1" s="19"/>
    </row>
    <row r="2" spans="1:44" ht="15.75" customHeight="1" x14ac:dyDescent="0.3">
      <c r="A2" s="153"/>
      <c r="B2" s="154"/>
      <c r="C2" s="154"/>
      <c r="D2" s="154"/>
      <c r="E2" s="154"/>
      <c r="F2" s="154"/>
      <c r="G2" s="154"/>
      <c r="H2" s="154"/>
      <c r="I2" s="155"/>
      <c r="J2" s="32"/>
      <c r="K2" s="19"/>
      <c r="L2" s="19"/>
      <c r="M2" s="19"/>
      <c r="N2" s="19"/>
      <c r="O2" s="19"/>
      <c r="P2" s="12"/>
      <c r="Q2" s="32"/>
      <c r="R2" s="146"/>
      <c r="S2" s="146"/>
      <c r="T2" s="146"/>
      <c r="U2" s="146"/>
      <c r="V2" s="146"/>
      <c r="W2" s="146"/>
      <c r="X2" s="146"/>
      <c r="Y2" s="146"/>
      <c r="Z2" s="12"/>
      <c r="AA2" s="19"/>
      <c r="AB2" s="19"/>
    </row>
    <row r="3" spans="1:44" x14ac:dyDescent="0.25">
      <c r="A3" s="156" t="s">
        <v>194</v>
      </c>
      <c r="B3" s="157"/>
      <c r="C3" s="157"/>
      <c r="D3" s="157"/>
      <c r="E3" s="157"/>
      <c r="F3" s="157"/>
      <c r="G3" s="157"/>
      <c r="H3" s="157"/>
      <c r="I3" s="158"/>
      <c r="J3" s="32"/>
      <c r="K3" s="19"/>
      <c r="L3" s="19"/>
      <c r="M3" s="33">
        <f>SUM(M6,M7,M8,M9,M10,M11,M20,M21,M23,M24,M26,M27,M28,M29,M30, M31,M32,M34,M35,M36)</f>
        <v>0</v>
      </c>
      <c r="N3" s="19"/>
      <c r="O3" s="19"/>
      <c r="P3" s="12"/>
      <c r="Q3" s="32"/>
      <c r="R3" s="19"/>
      <c r="S3" s="34"/>
      <c r="T3" s="34"/>
      <c r="U3" s="34"/>
      <c r="V3" s="34"/>
      <c r="W3" s="34"/>
      <c r="X3" s="34"/>
      <c r="Y3" s="34"/>
      <c r="Z3" s="12"/>
      <c r="AA3" s="19"/>
      <c r="AB3" s="19"/>
    </row>
    <row r="4" spans="1:44" ht="24.75" customHeight="1" x14ac:dyDescent="0.35">
      <c r="A4" s="35"/>
      <c r="B4" s="36" t="s">
        <v>164</v>
      </c>
      <c r="C4" s="161"/>
      <c r="D4" s="162"/>
      <c r="E4" s="162"/>
      <c r="F4" s="162"/>
      <c r="G4" s="162"/>
      <c r="H4" s="163"/>
      <c r="I4" s="12"/>
      <c r="J4" s="32"/>
      <c r="K4" s="19"/>
      <c r="L4" s="19"/>
      <c r="M4" s="36" t="s">
        <v>58</v>
      </c>
      <c r="N4" s="19"/>
      <c r="O4" s="19"/>
      <c r="P4" s="12"/>
      <c r="Q4" s="32"/>
      <c r="R4" s="147" t="s">
        <v>170</v>
      </c>
      <c r="S4" s="147"/>
      <c r="T4" s="147"/>
      <c r="U4" s="147"/>
      <c r="V4" s="147"/>
      <c r="W4" s="147"/>
      <c r="X4" s="147"/>
      <c r="Y4" s="147"/>
      <c r="Z4" s="37"/>
      <c r="AA4" s="19"/>
      <c r="AB4" s="19"/>
    </row>
    <row r="5" spans="1:44" ht="39.5" x14ac:dyDescent="0.35">
      <c r="A5" s="35"/>
      <c r="B5" s="38" t="s">
        <v>1</v>
      </c>
      <c r="C5" s="164"/>
      <c r="D5" s="162"/>
      <c r="E5" s="163"/>
      <c r="F5" s="39" t="s">
        <v>2</v>
      </c>
      <c r="G5" s="165"/>
      <c r="H5" s="166"/>
      <c r="I5" s="13"/>
      <c r="J5" s="32"/>
      <c r="K5" s="148" t="s">
        <v>20</v>
      </c>
      <c r="L5" s="149"/>
      <c r="M5" s="40" t="s">
        <v>39</v>
      </c>
      <c r="N5" s="19"/>
      <c r="O5" s="19"/>
      <c r="P5" s="12"/>
      <c r="Q5" s="32"/>
      <c r="R5" s="19"/>
      <c r="S5" s="41" t="s">
        <v>165</v>
      </c>
      <c r="T5" s="41" t="s">
        <v>166</v>
      </c>
      <c r="U5" s="41" t="s">
        <v>167</v>
      </c>
      <c r="V5" s="41" t="s">
        <v>168</v>
      </c>
      <c r="W5" s="41" t="s">
        <v>169</v>
      </c>
      <c r="X5" s="41" t="s">
        <v>123</v>
      </c>
      <c r="Y5" s="41" t="s">
        <v>165</v>
      </c>
      <c r="Z5" s="37"/>
      <c r="AA5" s="19"/>
      <c r="AB5" s="19"/>
      <c r="AJ5" s="121"/>
      <c r="AK5" s="122" t="s">
        <v>20</v>
      </c>
      <c r="AL5" s="123" t="s">
        <v>96</v>
      </c>
      <c r="AM5" s="123" t="s">
        <v>97</v>
      </c>
      <c r="AN5" s="121"/>
      <c r="AO5" s="121"/>
      <c r="AP5" s="121"/>
      <c r="AQ5" s="121"/>
      <c r="AR5" s="121"/>
    </row>
    <row r="6" spans="1:44" ht="15.5" x14ac:dyDescent="0.35">
      <c r="A6" s="35"/>
      <c r="B6" s="42"/>
      <c r="C6" s="42"/>
      <c r="D6" s="42"/>
      <c r="E6" s="19"/>
      <c r="F6" s="19"/>
      <c r="G6" s="19"/>
      <c r="H6" s="19"/>
      <c r="I6" s="12"/>
      <c r="J6" s="32"/>
      <c r="K6" s="43" t="s">
        <v>24</v>
      </c>
      <c r="L6" s="39" t="s">
        <v>77</v>
      </c>
      <c r="M6" s="7">
        <v>0</v>
      </c>
      <c r="N6" s="19"/>
      <c r="O6" s="19"/>
      <c r="P6" s="12"/>
      <c r="Q6" s="32"/>
      <c r="R6" s="44" t="s">
        <v>18</v>
      </c>
      <c r="S6" s="45">
        <f>SUM(23-(24*0.15))</f>
        <v>19.399999999999999</v>
      </c>
      <c r="T6" s="46">
        <f>SUM(F33)</f>
        <v>0</v>
      </c>
      <c r="U6" s="45">
        <v>12</v>
      </c>
      <c r="V6" s="45">
        <v>2</v>
      </c>
      <c r="W6" s="7">
        <v>0</v>
      </c>
      <c r="X6" s="39">
        <f>SUM(V6/1000)*(W6)</f>
        <v>0</v>
      </c>
      <c r="Y6" s="39">
        <f>SUM(S6)-(X6*T6)</f>
        <v>19.399999999999999</v>
      </c>
      <c r="Z6" s="12"/>
      <c r="AA6" s="19"/>
      <c r="AB6" s="19"/>
      <c r="AJ6" s="121" t="s">
        <v>98</v>
      </c>
      <c r="AK6" s="121" t="s">
        <v>77</v>
      </c>
      <c r="AL6" s="121">
        <v>5.0000000000000001E-4</v>
      </c>
      <c r="AM6" s="121">
        <v>5.0000000000000001E-4</v>
      </c>
      <c r="AN6" s="121"/>
      <c r="AO6" s="121"/>
      <c r="AP6" s="121"/>
      <c r="AQ6" s="121" t="s">
        <v>139</v>
      </c>
      <c r="AR6" s="121">
        <v>8.3000000000000004E-2</v>
      </c>
    </row>
    <row r="7" spans="1:44" ht="15.5" x14ac:dyDescent="0.35">
      <c r="A7" s="32"/>
      <c r="B7" s="42"/>
      <c r="C7" s="19"/>
      <c r="D7" s="19"/>
      <c r="E7" s="19"/>
      <c r="F7" s="19"/>
      <c r="G7" s="19"/>
      <c r="H7" s="19"/>
      <c r="I7" s="12"/>
      <c r="J7" s="32"/>
      <c r="K7" s="43" t="s">
        <v>22</v>
      </c>
      <c r="L7" s="43" t="s">
        <v>75</v>
      </c>
      <c r="M7" s="1">
        <v>0</v>
      </c>
      <c r="N7" s="19"/>
      <c r="O7" s="19"/>
      <c r="P7" s="12"/>
      <c r="Q7" s="32"/>
      <c r="R7" s="44" t="s">
        <v>19</v>
      </c>
      <c r="S7" s="45">
        <f>SUM(23-(24*0.15))</f>
        <v>19.399999999999999</v>
      </c>
      <c r="T7" s="4">
        <f>SUM(F34)</f>
        <v>0</v>
      </c>
      <c r="U7" s="45">
        <v>12</v>
      </c>
      <c r="V7" s="45">
        <v>2</v>
      </c>
      <c r="W7" s="7">
        <v>0</v>
      </c>
      <c r="X7" s="39">
        <f>SUM(V7/1000)*(W7)</f>
        <v>0</v>
      </c>
      <c r="Y7" s="39">
        <f>SUM(S7)-(X7*T7)</f>
        <v>19.399999999999999</v>
      </c>
      <c r="Z7" s="12"/>
      <c r="AA7" s="19"/>
      <c r="AB7" s="19"/>
      <c r="AJ7" s="121" t="s">
        <v>99</v>
      </c>
      <c r="AK7" s="121" t="s">
        <v>75</v>
      </c>
      <c r="AL7" s="121">
        <v>5.0000000000000001E-4</v>
      </c>
      <c r="AM7" s="121">
        <v>5.0000000000000001E-4</v>
      </c>
      <c r="AN7" s="121"/>
      <c r="AO7" s="121"/>
      <c r="AP7" s="121"/>
      <c r="AQ7" s="121" t="s">
        <v>140</v>
      </c>
      <c r="AR7" s="121">
        <v>0.16700000000000001</v>
      </c>
    </row>
    <row r="8" spans="1:44" ht="13" x14ac:dyDescent="0.3">
      <c r="A8" s="32"/>
      <c r="B8" s="21"/>
      <c r="C8" s="39"/>
      <c r="D8" s="47" t="s">
        <v>153</v>
      </c>
      <c r="E8" s="36"/>
      <c r="F8" s="39"/>
      <c r="G8" s="47" t="s">
        <v>152</v>
      </c>
      <c r="H8" s="36"/>
      <c r="I8" s="14"/>
      <c r="J8" s="32"/>
      <c r="K8" s="43" t="s">
        <v>25</v>
      </c>
      <c r="L8" s="39" t="s">
        <v>78</v>
      </c>
      <c r="M8" s="1">
        <v>0</v>
      </c>
      <c r="N8" s="19"/>
      <c r="O8" s="19"/>
      <c r="P8" s="12"/>
      <c r="Q8" s="32"/>
      <c r="R8" s="48"/>
      <c r="S8" s="49"/>
      <c r="T8" s="19"/>
      <c r="U8" s="49"/>
      <c r="V8" s="49"/>
      <c r="W8" s="50"/>
      <c r="X8" s="19"/>
      <c r="Y8" s="19"/>
      <c r="Z8" s="12"/>
      <c r="AA8" s="19"/>
      <c r="AB8" s="19"/>
      <c r="AJ8" s="121" t="s">
        <v>100</v>
      </c>
      <c r="AK8" s="121" t="s">
        <v>78</v>
      </c>
      <c r="AL8" s="121">
        <v>5.0000000000000001E-4</v>
      </c>
      <c r="AM8" s="121">
        <v>5.0000000000000001E-4</v>
      </c>
      <c r="AN8" s="121"/>
      <c r="AO8" s="121"/>
      <c r="AP8" s="121"/>
      <c r="AQ8" s="121" t="s">
        <v>141</v>
      </c>
      <c r="AR8" s="121">
        <v>0.25</v>
      </c>
    </row>
    <row r="9" spans="1:44" ht="13" x14ac:dyDescent="0.3">
      <c r="A9" s="32"/>
      <c r="B9" s="36" t="s">
        <v>5</v>
      </c>
      <c r="C9" s="47" t="s">
        <v>6</v>
      </c>
      <c r="D9" s="47" t="s">
        <v>7</v>
      </c>
      <c r="E9" s="47" t="s">
        <v>8</v>
      </c>
      <c r="F9" s="47" t="s">
        <v>6</v>
      </c>
      <c r="G9" s="47" t="s">
        <v>7</v>
      </c>
      <c r="H9" s="47" t="s">
        <v>8</v>
      </c>
      <c r="I9" s="15"/>
      <c r="J9" s="32"/>
      <c r="K9" s="43" t="s">
        <v>23</v>
      </c>
      <c r="L9" s="43" t="s">
        <v>76</v>
      </c>
      <c r="M9" s="1">
        <v>0</v>
      </c>
      <c r="N9" s="19"/>
      <c r="O9" s="19"/>
      <c r="P9" s="12"/>
      <c r="Q9" s="32"/>
      <c r="R9" s="44" t="s">
        <v>18</v>
      </c>
      <c r="S9" s="45">
        <f>SUM(23-(24*0.15))</f>
        <v>19.399999999999999</v>
      </c>
      <c r="T9" s="46">
        <f>SUM(F33)</f>
        <v>0</v>
      </c>
      <c r="U9" s="45">
        <v>14</v>
      </c>
      <c r="V9" s="45">
        <v>2.6</v>
      </c>
      <c r="W9" s="51">
        <f>SUM(W6)</f>
        <v>0</v>
      </c>
      <c r="X9" s="39">
        <f>SUM(V9/1000)*(W9)</f>
        <v>0</v>
      </c>
      <c r="Y9" s="39">
        <f>SUM(S9)-(X9*T9)</f>
        <v>19.399999999999999</v>
      </c>
      <c r="Z9" s="12"/>
      <c r="AA9" s="19"/>
      <c r="AB9" s="19"/>
      <c r="AJ9" s="121" t="s">
        <v>101</v>
      </c>
      <c r="AK9" s="121" t="s">
        <v>76</v>
      </c>
      <c r="AL9" s="121">
        <v>4.0000000000000002E-4</v>
      </c>
      <c r="AM9" s="121">
        <v>4.0000000000000002E-4</v>
      </c>
      <c r="AN9" s="121"/>
      <c r="AO9" s="121"/>
      <c r="AP9" s="121"/>
      <c r="AQ9" s="121" t="s">
        <v>142</v>
      </c>
      <c r="AR9" s="121">
        <v>0.33400000000000002</v>
      </c>
    </row>
    <row r="10" spans="1:44" ht="13" x14ac:dyDescent="0.3">
      <c r="A10" s="32"/>
      <c r="B10" s="52" t="s">
        <v>17</v>
      </c>
      <c r="C10" s="4">
        <v>0.11</v>
      </c>
      <c r="D10" s="8">
        <v>1</v>
      </c>
      <c r="E10" s="4">
        <f t="shared" ref="E10:E16" si="0">C10*D10</f>
        <v>0.11</v>
      </c>
      <c r="F10" s="4">
        <v>0.19500000000000001</v>
      </c>
      <c r="G10" s="8">
        <v>1</v>
      </c>
      <c r="H10" s="4">
        <f>F10*G10</f>
        <v>0.19500000000000001</v>
      </c>
      <c r="I10" s="16"/>
      <c r="J10" s="32"/>
      <c r="K10" s="43" t="s">
        <v>154</v>
      </c>
      <c r="L10" s="53" t="s">
        <v>155</v>
      </c>
      <c r="M10" s="1">
        <v>0</v>
      </c>
      <c r="N10" s="19"/>
      <c r="O10" s="19"/>
      <c r="P10" s="12"/>
      <c r="Q10" s="32"/>
      <c r="R10" s="44" t="s">
        <v>19</v>
      </c>
      <c r="S10" s="45">
        <f>SUM(23-(24*0.15))</f>
        <v>19.399999999999999</v>
      </c>
      <c r="T10" s="4">
        <f>SUM(F34)</f>
        <v>0</v>
      </c>
      <c r="U10" s="45">
        <v>14</v>
      </c>
      <c r="V10" s="45">
        <v>2.6</v>
      </c>
      <c r="W10" s="51">
        <f>SUM(W7)</f>
        <v>0</v>
      </c>
      <c r="X10" s="39">
        <f>SUM(V10/1000)*(W10)</f>
        <v>0</v>
      </c>
      <c r="Y10" s="39">
        <f>SUM(S10)-(X10*T10)</f>
        <v>19.399999999999999</v>
      </c>
      <c r="Z10" s="12"/>
      <c r="AA10" s="19"/>
      <c r="AB10" s="19"/>
      <c r="AJ10" s="121" t="s">
        <v>102</v>
      </c>
      <c r="AK10" s="121" t="s">
        <v>154</v>
      </c>
      <c r="AL10" s="121">
        <v>3.4000000000000002E-4</v>
      </c>
      <c r="AM10" s="121">
        <v>3.4000000000000002E-4</v>
      </c>
      <c r="AN10" s="121"/>
      <c r="AO10" s="121"/>
      <c r="AP10" s="121"/>
      <c r="AQ10" s="121" t="s">
        <v>143</v>
      </c>
      <c r="AR10" s="121">
        <v>0.41699999999999998</v>
      </c>
    </row>
    <row r="11" spans="1:44" ht="13" x14ac:dyDescent="0.3">
      <c r="A11" s="32"/>
      <c r="B11" s="25" t="s">
        <v>178</v>
      </c>
      <c r="C11" s="4">
        <f>VLOOKUP(B11,AK49:AM51,2,FALSE)</f>
        <v>0</v>
      </c>
      <c r="D11" s="8">
        <v>1</v>
      </c>
      <c r="E11" s="4">
        <f t="shared" si="0"/>
        <v>0</v>
      </c>
      <c r="F11" s="4">
        <f>VLOOKUP(B11,AK49:AM51,3,FALSE)</f>
        <v>0</v>
      </c>
      <c r="G11" s="8">
        <v>1</v>
      </c>
      <c r="H11" s="4">
        <f>F11*G11</f>
        <v>0</v>
      </c>
      <c r="I11" s="16"/>
      <c r="J11" s="32"/>
      <c r="K11" s="43" t="s">
        <v>181</v>
      </c>
      <c r="L11" s="43" t="s">
        <v>182</v>
      </c>
      <c r="M11" s="1">
        <v>0</v>
      </c>
      <c r="N11" s="19"/>
      <c r="O11" s="19"/>
      <c r="P11" s="12"/>
      <c r="Q11" s="32"/>
      <c r="R11" s="48"/>
      <c r="S11" s="49"/>
      <c r="T11" s="19"/>
      <c r="U11" s="49"/>
      <c r="V11" s="49"/>
      <c r="W11" s="50"/>
      <c r="X11" s="19"/>
      <c r="Y11" s="19"/>
      <c r="Z11" s="12"/>
      <c r="AA11" s="19"/>
      <c r="AB11" s="19"/>
      <c r="AJ11" s="121" t="s">
        <v>103</v>
      </c>
      <c r="AK11" s="121" t="s">
        <v>182</v>
      </c>
      <c r="AL11" s="121">
        <v>4.0000000000000002E-4</v>
      </c>
      <c r="AM11" s="121">
        <v>4.0000000000000002E-4</v>
      </c>
      <c r="AN11" s="121"/>
      <c r="AO11" s="121"/>
      <c r="AP11" s="121"/>
      <c r="AQ11" s="121" t="s">
        <v>144</v>
      </c>
      <c r="AR11" s="121">
        <v>0.5</v>
      </c>
    </row>
    <row r="12" spans="1:44" ht="13" x14ac:dyDescent="0.3">
      <c r="A12" s="32"/>
      <c r="B12" s="52" t="s">
        <v>173</v>
      </c>
      <c r="C12" s="4">
        <f>M43</f>
        <v>0</v>
      </c>
      <c r="D12" s="54">
        <v>1.25</v>
      </c>
      <c r="E12" s="4">
        <f t="shared" si="0"/>
        <v>0</v>
      </c>
      <c r="F12" s="4">
        <f>M44</f>
        <v>0</v>
      </c>
      <c r="G12" s="54">
        <v>1.25</v>
      </c>
      <c r="H12" s="4">
        <f>F12*G12</f>
        <v>0</v>
      </c>
      <c r="I12" s="16"/>
      <c r="J12" s="32"/>
      <c r="K12" s="185" t="str">
        <f>SUM(M11*AM12)&amp;" Amp"&amp;"    Required 24VDC Sounder Base Power"</f>
        <v>0 Amp    Required 24VDC Sounder Base Power</v>
      </c>
      <c r="L12" s="186"/>
      <c r="M12" s="8"/>
      <c r="N12" s="19"/>
      <c r="O12" s="19"/>
      <c r="P12" s="12"/>
      <c r="Q12" s="32"/>
      <c r="R12" s="44" t="s">
        <v>18</v>
      </c>
      <c r="S12" s="45">
        <f>SUM(23-(24*0.15))</f>
        <v>19.399999999999999</v>
      </c>
      <c r="T12" s="46">
        <f>SUM(F33)</f>
        <v>0</v>
      </c>
      <c r="U12" s="45">
        <v>16</v>
      </c>
      <c r="V12" s="45">
        <v>4.2</v>
      </c>
      <c r="W12" s="51">
        <f>SUM(W6)</f>
        <v>0</v>
      </c>
      <c r="X12" s="39">
        <f>SUM(V12/1000)*(W12)</f>
        <v>0</v>
      </c>
      <c r="Y12" s="39">
        <f>SUM(S12)-(X12*T12)</f>
        <v>19.399999999999999</v>
      </c>
      <c r="Z12" s="12"/>
      <c r="AA12" s="19"/>
      <c r="AB12" s="19"/>
      <c r="AJ12" s="121" t="s">
        <v>104</v>
      </c>
      <c r="AK12" s="121" t="s">
        <v>210</v>
      </c>
      <c r="AL12" s="121"/>
      <c r="AM12" s="121">
        <v>3.3000000000000002E-2</v>
      </c>
      <c r="AN12" s="121"/>
      <c r="AO12" s="121"/>
      <c r="AP12" s="121"/>
      <c r="AQ12" s="121" t="s">
        <v>145</v>
      </c>
      <c r="AR12" s="121">
        <v>0.58399999999999996</v>
      </c>
    </row>
    <row r="13" spans="1:44" ht="13" x14ac:dyDescent="0.3">
      <c r="A13" s="32"/>
      <c r="B13" s="129"/>
      <c r="C13" s="130"/>
      <c r="D13" s="131"/>
      <c r="E13" s="130"/>
      <c r="F13" s="130"/>
      <c r="G13" s="131"/>
      <c r="H13" s="130"/>
      <c r="I13" s="16"/>
      <c r="J13" s="32"/>
      <c r="K13" s="167" t="s">
        <v>21</v>
      </c>
      <c r="L13" s="149"/>
      <c r="M13" s="8">
        <f>SUM(SUM(M6:M9)-(SUM(M18:M21)+(M11)+(M14)+(M16)))</f>
        <v>0</v>
      </c>
      <c r="N13" s="19"/>
      <c r="O13" s="19"/>
      <c r="P13" s="12"/>
      <c r="Q13" s="32"/>
      <c r="R13" s="44" t="s">
        <v>19</v>
      </c>
      <c r="S13" s="45">
        <f>SUM(23-(24*0.15))</f>
        <v>19.399999999999999</v>
      </c>
      <c r="T13" s="4">
        <f>SUM(F34)</f>
        <v>0</v>
      </c>
      <c r="U13" s="45">
        <v>16</v>
      </c>
      <c r="V13" s="45">
        <v>4.2</v>
      </c>
      <c r="W13" s="51">
        <f>SUM(W7)</f>
        <v>0</v>
      </c>
      <c r="X13" s="39">
        <f>SUM(V13/1000)*(W13)</f>
        <v>0</v>
      </c>
      <c r="Y13" s="39">
        <f>SUM(S13)-(X13*T13)</f>
        <v>19.399999999999999</v>
      </c>
      <c r="Z13" s="12"/>
      <c r="AA13" s="19"/>
      <c r="AB13" s="19"/>
      <c r="AI13" s="124"/>
      <c r="AJ13" s="121" t="s">
        <v>208</v>
      </c>
      <c r="AK13" s="122" t="s">
        <v>21</v>
      </c>
      <c r="AL13" s="121"/>
      <c r="AM13" s="121"/>
      <c r="AN13" s="121"/>
      <c r="AO13" s="121"/>
      <c r="AP13" s="121"/>
      <c r="AQ13" s="121" t="s">
        <v>146</v>
      </c>
      <c r="AR13" s="121">
        <v>0.66700000000000004</v>
      </c>
    </row>
    <row r="14" spans="1:44" ht="13" x14ac:dyDescent="0.3">
      <c r="A14" s="32"/>
      <c r="B14" s="25" t="s">
        <v>171</v>
      </c>
      <c r="C14" s="4">
        <f>VLOOKUP(B14,AK43:AN45,2,FALSE)</f>
        <v>0</v>
      </c>
      <c r="D14" s="8">
        <f>VLOOKUP(B14,AK43:AN45,4,FALSE)</f>
        <v>0</v>
      </c>
      <c r="E14" s="4">
        <f t="shared" si="0"/>
        <v>0</v>
      </c>
      <c r="F14" s="4">
        <f>VLOOKUP(B14,AK43:AN45,3,FALSE)</f>
        <v>0</v>
      </c>
      <c r="G14" s="3">
        <f>D14</f>
        <v>0</v>
      </c>
      <c r="H14" s="4">
        <f>F14*G14</f>
        <v>0</v>
      </c>
      <c r="I14" s="16"/>
      <c r="J14" s="32"/>
      <c r="K14" s="39" t="s">
        <v>37</v>
      </c>
      <c r="L14" s="39" t="s">
        <v>38</v>
      </c>
      <c r="M14" s="1">
        <v>0</v>
      </c>
      <c r="N14" s="19"/>
      <c r="O14" s="19"/>
      <c r="P14" s="12"/>
      <c r="Q14" s="32"/>
      <c r="R14" s="55"/>
      <c r="S14" s="56"/>
      <c r="U14" s="56"/>
      <c r="V14" s="56"/>
      <c r="W14" s="57"/>
      <c r="Z14" s="12"/>
      <c r="AA14" s="19"/>
      <c r="AB14" s="19"/>
      <c r="AJ14" s="121" t="s">
        <v>105</v>
      </c>
      <c r="AK14" s="121" t="s">
        <v>38</v>
      </c>
      <c r="AL14" s="121"/>
      <c r="AM14" s="121"/>
      <c r="AN14" s="121"/>
      <c r="AO14" s="121"/>
      <c r="AP14" s="121"/>
      <c r="AQ14" s="121" t="s">
        <v>147</v>
      </c>
      <c r="AR14" s="121">
        <v>0.75</v>
      </c>
    </row>
    <row r="15" spans="1:44" ht="13" x14ac:dyDescent="0.3">
      <c r="A15" s="32"/>
      <c r="B15" s="52" t="s">
        <v>130</v>
      </c>
      <c r="C15" s="4">
        <v>7.8E-2</v>
      </c>
      <c r="D15" s="2">
        <v>1</v>
      </c>
      <c r="E15" s="4">
        <f t="shared" si="0"/>
        <v>7.8E-2</v>
      </c>
      <c r="F15" s="4">
        <v>0.14000000000000001</v>
      </c>
      <c r="G15" s="3">
        <f>D15</f>
        <v>1</v>
      </c>
      <c r="H15" s="4">
        <f t="shared" ref="H15:H24" si="1">F15*G15</f>
        <v>0.14000000000000001</v>
      </c>
      <c r="I15" s="16"/>
      <c r="J15" s="32"/>
      <c r="K15" s="43" t="s">
        <v>212</v>
      </c>
      <c r="L15" s="43" t="s">
        <v>200</v>
      </c>
      <c r="M15" s="1">
        <v>0</v>
      </c>
      <c r="N15" s="19"/>
      <c r="O15" s="19"/>
      <c r="P15" s="12"/>
      <c r="Q15" s="32"/>
      <c r="R15" s="44" t="s">
        <v>18</v>
      </c>
      <c r="S15" s="45">
        <f>SUM(23-(24*0.15))</f>
        <v>19.399999999999999</v>
      </c>
      <c r="T15" s="46">
        <f>SUM(F33)</f>
        <v>0</v>
      </c>
      <c r="U15" s="45">
        <v>18</v>
      </c>
      <c r="V15" s="45">
        <v>6.5</v>
      </c>
      <c r="W15" s="51">
        <f>SUM(W6)</f>
        <v>0</v>
      </c>
      <c r="X15" s="39">
        <f>SUM(V15/1000)*(W15)</f>
        <v>0</v>
      </c>
      <c r="Y15" s="39">
        <f>SUM(S15)-(X15*T15)</f>
        <v>19.399999999999999</v>
      </c>
      <c r="Z15" s="12"/>
      <c r="AA15" s="19"/>
      <c r="AB15" s="19"/>
      <c r="AJ15" s="121" t="s">
        <v>106</v>
      </c>
      <c r="AK15" s="121" t="s">
        <v>124</v>
      </c>
      <c r="AL15" s="121"/>
      <c r="AM15" s="121">
        <v>5.0000000000000001E-3</v>
      </c>
      <c r="AN15" s="121"/>
      <c r="AO15" s="121"/>
      <c r="AP15" s="121"/>
      <c r="AQ15" s="121" t="s">
        <v>148</v>
      </c>
      <c r="AR15" s="121">
        <v>0.83399999999999996</v>
      </c>
    </row>
    <row r="16" spans="1:44" ht="13" x14ac:dyDescent="0.3">
      <c r="A16" s="32"/>
      <c r="B16" s="52" t="s">
        <v>131</v>
      </c>
      <c r="C16" s="4">
        <v>0.109</v>
      </c>
      <c r="D16" s="2">
        <v>0</v>
      </c>
      <c r="E16" s="4">
        <f t="shared" si="0"/>
        <v>0</v>
      </c>
      <c r="F16" s="4">
        <v>0.125</v>
      </c>
      <c r="G16" s="3">
        <f t="shared" ref="G16:G24" si="2">D16</f>
        <v>0</v>
      </c>
      <c r="H16" s="4">
        <f t="shared" si="1"/>
        <v>0</v>
      </c>
      <c r="I16" s="16"/>
      <c r="J16" s="32"/>
      <c r="K16" s="43" t="s">
        <v>198</v>
      </c>
      <c r="L16" s="58" t="s">
        <v>215</v>
      </c>
      <c r="M16" s="1">
        <v>0</v>
      </c>
      <c r="N16" s="19"/>
      <c r="O16" s="19"/>
      <c r="P16" s="12"/>
      <c r="Q16" s="32"/>
      <c r="R16" s="44" t="s">
        <v>19</v>
      </c>
      <c r="S16" s="45">
        <f>SUM(23-(24*0.15))</f>
        <v>19.399999999999999</v>
      </c>
      <c r="T16" s="4">
        <f>SUM(F34)</f>
        <v>0</v>
      </c>
      <c r="U16" s="45">
        <v>18</v>
      </c>
      <c r="V16" s="45">
        <v>6.5</v>
      </c>
      <c r="W16" s="51">
        <f>SUM(W7)</f>
        <v>0</v>
      </c>
      <c r="X16" s="39">
        <f>SUM(V16/1000)*(W16)</f>
        <v>0</v>
      </c>
      <c r="Y16" s="39">
        <f>SUM(S16)-(X16*T16)</f>
        <v>19.399999999999999</v>
      </c>
      <c r="Z16" s="12"/>
      <c r="AA16" s="19"/>
      <c r="AB16" s="19"/>
      <c r="AI16" s="124"/>
      <c r="AJ16" s="121" t="s">
        <v>207</v>
      </c>
      <c r="AK16" s="125" t="s">
        <v>199</v>
      </c>
      <c r="AL16" s="121">
        <v>1.4999999999999999E-4</v>
      </c>
      <c r="AM16" s="121"/>
      <c r="AN16" s="121"/>
      <c r="AO16" s="121"/>
      <c r="AP16" s="121"/>
      <c r="AQ16" s="121" t="s">
        <v>149</v>
      </c>
      <c r="AR16" s="121">
        <v>0.91700000000000004</v>
      </c>
    </row>
    <row r="17" spans="1:44" x14ac:dyDescent="0.25">
      <c r="A17" s="32"/>
      <c r="B17" s="52" t="s">
        <v>45</v>
      </c>
      <c r="C17" s="59"/>
      <c r="D17" s="59"/>
      <c r="E17" s="59"/>
      <c r="F17" s="4">
        <v>6.5000000000000002E-2</v>
      </c>
      <c r="G17" s="26">
        <v>0</v>
      </c>
      <c r="H17" s="4">
        <f t="shared" si="1"/>
        <v>0</v>
      </c>
      <c r="I17" s="16"/>
      <c r="J17" s="32"/>
      <c r="K17" s="185" t="str">
        <f>SUM(M16*AM17)&amp;" Amp"&amp;"    Required 24VDC Sounder Base Power"</f>
        <v>0 Amp    Required 24VDC Sounder Base Power</v>
      </c>
      <c r="L17" s="186"/>
      <c r="M17" s="8"/>
      <c r="N17" s="19"/>
      <c r="O17" s="19"/>
      <c r="P17" s="12"/>
      <c r="Q17" s="32"/>
      <c r="R17" s="19"/>
      <c r="S17" s="19"/>
      <c r="T17" s="19"/>
      <c r="U17" s="19"/>
      <c r="V17" s="19"/>
      <c r="W17" s="19"/>
      <c r="X17" s="19"/>
      <c r="Y17" s="19"/>
      <c r="Z17" s="12"/>
      <c r="AA17" s="19"/>
      <c r="AB17" s="19"/>
      <c r="AI17" s="124"/>
      <c r="AJ17" s="121" t="s">
        <v>209</v>
      </c>
      <c r="AK17" s="121" t="s">
        <v>210</v>
      </c>
      <c r="AL17" s="121"/>
      <c r="AM17" s="121">
        <v>1.7000000000000001E-2</v>
      </c>
      <c r="AN17" s="121"/>
      <c r="AO17" s="121"/>
      <c r="AP17" s="121"/>
      <c r="AQ17" s="121" t="s">
        <v>150</v>
      </c>
      <c r="AR17" s="121">
        <v>1</v>
      </c>
    </row>
    <row r="18" spans="1:44" x14ac:dyDescent="0.25">
      <c r="A18" s="32"/>
      <c r="B18" s="52" t="s">
        <v>51</v>
      </c>
      <c r="C18" s="4">
        <v>1.0999999999999999E-2</v>
      </c>
      <c r="D18" s="2">
        <v>0</v>
      </c>
      <c r="E18" s="4">
        <f t="shared" ref="E18:E23" si="3">C18*D18</f>
        <v>0</v>
      </c>
      <c r="F18" s="4">
        <v>0.06</v>
      </c>
      <c r="G18" s="3">
        <f t="shared" si="2"/>
        <v>0</v>
      </c>
      <c r="H18" s="4">
        <f t="shared" si="1"/>
        <v>0</v>
      </c>
      <c r="I18" s="16"/>
      <c r="J18" s="32"/>
      <c r="K18" s="39" t="s">
        <v>35</v>
      </c>
      <c r="L18" s="39" t="s">
        <v>36</v>
      </c>
      <c r="M18" s="1">
        <v>0</v>
      </c>
      <c r="N18" s="19"/>
      <c r="O18" s="19"/>
      <c r="P18" s="12"/>
      <c r="Q18" s="32"/>
      <c r="R18" s="19" t="s">
        <v>224</v>
      </c>
      <c r="S18" s="19"/>
      <c r="T18" s="19"/>
      <c r="U18" s="19"/>
      <c r="V18" s="19"/>
      <c r="W18" s="19"/>
      <c r="X18" s="19"/>
      <c r="Y18" s="19"/>
      <c r="Z18" s="12"/>
      <c r="AA18" s="19"/>
      <c r="AB18" s="19"/>
      <c r="AI18" s="124"/>
      <c r="AJ18" s="121" t="s">
        <v>125</v>
      </c>
      <c r="AK18" s="121" t="s">
        <v>36</v>
      </c>
      <c r="AL18" s="121">
        <v>9.9999999999999995E-7</v>
      </c>
      <c r="AM18" s="121">
        <v>4.0000000000000003E-5</v>
      </c>
      <c r="AN18" s="121"/>
      <c r="AO18" s="121"/>
      <c r="AP18" s="121"/>
      <c r="AQ18" s="121"/>
      <c r="AR18" s="121"/>
    </row>
    <row r="19" spans="1:44" x14ac:dyDescent="0.25">
      <c r="A19" s="32"/>
      <c r="B19" s="52" t="s">
        <v>52</v>
      </c>
      <c r="C19" s="4">
        <v>1.0999999999999999E-2</v>
      </c>
      <c r="D19" s="2">
        <v>0</v>
      </c>
      <c r="E19" s="4">
        <f t="shared" si="3"/>
        <v>0</v>
      </c>
      <c r="F19" s="4">
        <v>0.06</v>
      </c>
      <c r="G19" s="3">
        <f t="shared" si="2"/>
        <v>0</v>
      </c>
      <c r="H19" s="4">
        <f t="shared" si="1"/>
        <v>0</v>
      </c>
      <c r="I19" s="16"/>
      <c r="J19" s="32"/>
      <c r="K19" s="39" t="s">
        <v>30</v>
      </c>
      <c r="L19" s="39" t="s">
        <v>85</v>
      </c>
      <c r="M19" s="1">
        <v>0</v>
      </c>
      <c r="N19" s="19"/>
      <c r="O19" s="19"/>
      <c r="P19" s="12"/>
      <c r="Q19" s="32"/>
      <c r="R19" s="19" t="s">
        <v>225</v>
      </c>
      <c r="S19" s="19"/>
      <c r="T19" s="19"/>
      <c r="U19" s="19"/>
      <c r="V19" s="19"/>
      <c r="W19" s="19"/>
      <c r="X19" s="19"/>
      <c r="Y19" s="19"/>
      <c r="Z19" s="12"/>
      <c r="AA19" s="19"/>
      <c r="AB19" s="19"/>
      <c r="AI19" s="124"/>
      <c r="AJ19" s="121" t="s">
        <v>126</v>
      </c>
      <c r="AK19" s="121" t="s">
        <v>85</v>
      </c>
      <c r="AL19" s="121">
        <v>3.4999999999999997E-5</v>
      </c>
      <c r="AM19" s="121">
        <v>3.4999999999999997E-5</v>
      </c>
      <c r="AN19" s="121"/>
      <c r="AO19" s="121"/>
      <c r="AP19" s="121"/>
      <c r="AQ19" s="121"/>
      <c r="AR19" s="121"/>
    </row>
    <row r="20" spans="1:44" x14ac:dyDescent="0.25">
      <c r="A20" s="32"/>
      <c r="B20" s="52" t="s">
        <v>180</v>
      </c>
      <c r="C20" s="59"/>
      <c r="D20" s="59"/>
      <c r="E20" s="59"/>
      <c r="F20" s="4">
        <v>0.13</v>
      </c>
      <c r="G20" s="27">
        <v>0</v>
      </c>
      <c r="H20" s="4">
        <f t="shared" si="1"/>
        <v>0</v>
      </c>
      <c r="I20" s="16"/>
      <c r="J20" s="32"/>
      <c r="K20" s="43" t="s">
        <v>81</v>
      </c>
      <c r="L20" s="43" t="s">
        <v>80</v>
      </c>
      <c r="M20" s="1">
        <v>0</v>
      </c>
      <c r="N20" s="19"/>
      <c r="O20" s="19"/>
      <c r="P20" s="12"/>
      <c r="Q20" s="32"/>
      <c r="R20" s="19"/>
      <c r="S20" s="19"/>
      <c r="T20" s="19"/>
      <c r="U20" s="19"/>
      <c r="V20" s="19"/>
      <c r="W20" s="19"/>
      <c r="X20" s="19"/>
      <c r="Y20" s="19"/>
      <c r="Z20" s="12"/>
      <c r="AA20" s="19"/>
      <c r="AB20" s="19"/>
      <c r="AI20" s="124"/>
      <c r="AJ20" s="121" t="s">
        <v>127</v>
      </c>
      <c r="AK20" s="121" t="s">
        <v>94</v>
      </c>
      <c r="AL20" s="121">
        <v>8.9999999999999998E-4</v>
      </c>
      <c r="AM20" s="121">
        <v>8.7500000000000008E-3</v>
      </c>
      <c r="AN20" s="121"/>
      <c r="AO20" s="121"/>
      <c r="AP20" s="121"/>
      <c r="AQ20" s="121" t="s">
        <v>236</v>
      </c>
      <c r="AR20" s="121">
        <v>48</v>
      </c>
    </row>
    <row r="21" spans="1:44" x14ac:dyDescent="0.25">
      <c r="A21" s="32"/>
      <c r="B21" s="52" t="s">
        <v>53</v>
      </c>
      <c r="C21" s="4">
        <v>2.1999999999999999E-2</v>
      </c>
      <c r="D21" s="2">
        <v>0</v>
      </c>
      <c r="E21" s="4">
        <f t="shared" si="3"/>
        <v>0</v>
      </c>
      <c r="F21" s="4">
        <v>0.1</v>
      </c>
      <c r="G21" s="3">
        <f t="shared" si="2"/>
        <v>0</v>
      </c>
      <c r="H21" s="4">
        <f t="shared" si="1"/>
        <v>0</v>
      </c>
      <c r="I21" s="16"/>
      <c r="J21" s="32"/>
      <c r="K21" s="43" t="s">
        <v>82</v>
      </c>
      <c r="L21" s="43" t="s">
        <v>83</v>
      </c>
      <c r="M21" s="1">
        <v>0</v>
      </c>
      <c r="N21" s="19"/>
      <c r="O21" s="19"/>
      <c r="P21" s="12"/>
      <c r="Q21" s="32"/>
      <c r="R21" s="19"/>
      <c r="S21" s="19"/>
      <c r="T21" s="19"/>
      <c r="U21" s="19"/>
      <c r="V21" s="19"/>
      <c r="W21" s="19"/>
      <c r="X21" s="19"/>
      <c r="Y21" s="19"/>
      <c r="Z21" s="12"/>
      <c r="AA21" s="19"/>
      <c r="AB21" s="19"/>
      <c r="AI21" s="124"/>
      <c r="AJ21" s="121" t="s">
        <v>107</v>
      </c>
      <c r="AK21" s="121" t="s">
        <v>95</v>
      </c>
      <c r="AL21" s="121">
        <v>1.2999999999999999E-3</v>
      </c>
      <c r="AM21" s="121">
        <v>1.048E-2</v>
      </c>
      <c r="AN21" s="121"/>
      <c r="AO21" s="121"/>
      <c r="AP21" s="121"/>
      <c r="AQ21" s="121"/>
      <c r="AR21" s="121"/>
    </row>
    <row r="22" spans="1:44" ht="13" x14ac:dyDescent="0.3">
      <c r="A22" s="32"/>
      <c r="B22" s="52" t="s">
        <v>133</v>
      </c>
      <c r="C22" s="4">
        <v>0</v>
      </c>
      <c r="D22" s="2">
        <v>0</v>
      </c>
      <c r="E22" s="4">
        <v>0</v>
      </c>
      <c r="F22" s="4">
        <v>0</v>
      </c>
      <c r="G22" s="3">
        <f t="shared" si="2"/>
        <v>0</v>
      </c>
      <c r="H22" s="4">
        <f t="shared" si="1"/>
        <v>0</v>
      </c>
      <c r="I22" s="16"/>
      <c r="J22" s="32"/>
      <c r="K22" s="148" t="s">
        <v>196</v>
      </c>
      <c r="L22" s="149"/>
      <c r="M22" s="8"/>
      <c r="N22" s="19"/>
      <c r="O22" s="19"/>
      <c r="P22" s="12"/>
      <c r="Q22" s="32"/>
      <c r="R22" s="19"/>
      <c r="S22" s="19"/>
      <c r="T22" s="19"/>
      <c r="U22" s="19"/>
      <c r="V22" s="19"/>
      <c r="W22" s="19"/>
      <c r="X22" s="19"/>
      <c r="Y22" s="19"/>
      <c r="Z22" s="12"/>
      <c r="AA22" s="19"/>
      <c r="AB22" s="19"/>
      <c r="AI22" s="124"/>
      <c r="AJ22" s="121" t="s">
        <v>128</v>
      </c>
      <c r="AK22" s="122" t="s">
        <v>196</v>
      </c>
      <c r="AL22" s="121"/>
      <c r="AM22" s="121"/>
      <c r="AN22" s="121"/>
      <c r="AO22" s="121"/>
      <c r="AP22" s="121"/>
      <c r="AQ22" s="121"/>
      <c r="AR22" s="121"/>
    </row>
    <row r="23" spans="1:44" x14ac:dyDescent="0.25">
      <c r="A23" s="32"/>
      <c r="B23" s="25" t="s">
        <v>137</v>
      </c>
      <c r="C23" s="4">
        <f>VLOOKUP(B23,AK54:AN56,2,FALSE)</f>
        <v>0</v>
      </c>
      <c r="D23" s="8">
        <f>VLOOKUP(B23,AK54:AN56,4,FALSE)</f>
        <v>0</v>
      </c>
      <c r="E23" s="4">
        <f t="shared" si="3"/>
        <v>0</v>
      </c>
      <c r="F23" s="4">
        <f>VLOOKUP(B23,AK54:AN56,3,FALSE)</f>
        <v>0</v>
      </c>
      <c r="G23" s="3">
        <f t="shared" si="2"/>
        <v>0</v>
      </c>
      <c r="H23" s="4">
        <f t="shared" si="1"/>
        <v>0</v>
      </c>
      <c r="I23" s="16"/>
      <c r="J23" s="32"/>
      <c r="K23" s="43" t="s">
        <v>213</v>
      </c>
      <c r="L23" s="39" t="s">
        <v>90</v>
      </c>
      <c r="M23" s="1">
        <v>0</v>
      </c>
      <c r="N23" s="19"/>
      <c r="O23" s="19"/>
      <c r="P23" s="12"/>
      <c r="Q23" s="32"/>
      <c r="R23" s="19"/>
      <c r="S23" s="19"/>
      <c r="T23" s="19"/>
      <c r="U23" s="19"/>
      <c r="V23" s="19"/>
      <c r="W23" s="19"/>
      <c r="X23" s="19"/>
      <c r="Y23" s="19"/>
      <c r="Z23" s="12"/>
      <c r="AA23" s="19"/>
      <c r="AB23" s="19"/>
      <c r="AI23" s="124"/>
      <c r="AJ23" s="121" t="s">
        <v>108</v>
      </c>
      <c r="AK23" s="121" t="s">
        <v>90</v>
      </c>
      <c r="AL23" s="121">
        <v>1.6999999999999999E-3</v>
      </c>
      <c r="AM23" s="121">
        <v>2.7000000000000001E-3</v>
      </c>
      <c r="AN23" s="121"/>
      <c r="AO23" s="121"/>
      <c r="AP23" s="121"/>
      <c r="AQ23" s="121"/>
      <c r="AR23" s="121"/>
    </row>
    <row r="24" spans="1:44" x14ac:dyDescent="0.25">
      <c r="A24" s="32"/>
      <c r="B24" s="52" t="s">
        <v>161</v>
      </c>
      <c r="C24" s="4">
        <v>0.12</v>
      </c>
      <c r="D24" s="2">
        <v>0</v>
      </c>
      <c r="E24" s="4">
        <f>C24*D24</f>
        <v>0</v>
      </c>
      <c r="F24" s="4">
        <v>0.3</v>
      </c>
      <c r="G24" s="3">
        <f t="shared" si="2"/>
        <v>0</v>
      </c>
      <c r="H24" s="4">
        <f t="shared" si="1"/>
        <v>0</v>
      </c>
      <c r="I24" s="16"/>
      <c r="J24" s="32"/>
      <c r="K24" s="43" t="s">
        <v>185</v>
      </c>
      <c r="L24" s="43" t="s">
        <v>184</v>
      </c>
      <c r="M24" s="1">
        <v>0</v>
      </c>
      <c r="N24" s="19"/>
      <c r="O24" s="19"/>
      <c r="P24" s="12"/>
      <c r="Q24" s="32"/>
      <c r="R24" s="19"/>
      <c r="S24" s="19"/>
      <c r="T24" s="19"/>
      <c r="U24" s="19"/>
      <c r="V24" s="19"/>
      <c r="W24" s="19"/>
      <c r="X24" s="19"/>
      <c r="Y24" s="19"/>
      <c r="Z24" s="12"/>
      <c r="AA24" s="19"/>
      <c r="AB24" s="19"/>
      <c r="AI24" s="124"/>
      <c r="AJ24" s="121" t="s">
        <v>109</v>
      </c>
      <c r="AK24" s="121" t="s">
        <v>184</v>
      </c>
      <c r="AL24" s="121">
        <v>2.0000000000000001E-4</v>
      </c>
      <c r="AM24" s="121">
        <v>3.8E-3</v>
      </c>
      <c r="AN24" s="121"/>
      <c r="AO24" s="121"/>
      <c r="AP24" s="121"/>
      <c r="AQ24" s="121"/>
      <c r="AR24" s="121"/>
    </row>
    <row r="25" spans="1:44" ht="13" x14ac:dyDescent="0.3">
      <c r="A25" s="32"/>
      <c r="B25" s="129"/>
      <c r="C25" s="130"/>
      <c r="D25" s="132"/>
      <c r="E25" s="130"/>
      <c r="F25" s="130"/>
      <c r="G25" s="133"/>
      <c r="H25" s="130"/>
      <c r="I25" s="16"/>
      <c r="J25" s="32"/>
      <c r="K25" s="148" t="s">
        <v>27</v>
      </c>
      <c r="L25" s="149"/>
      <c r="M25" s="61"/>
      <c r="N25" s="19"/>
      <c r="O25" s="19"/>
      <c r="P25" s="12"/>
      <c r="Q25" s="32"/>
      <c r="R25" s="19"/>
      <c r="S25" s="19"/>
      <c r="T25" s="19"/>
      <c r="U25" s="19"/>
      <c r="V25" s="19"/>
      <c r="W25" s="19"/>
      <c r="X25" s="19"/>
      <c r="Y25" s="19"/>
      <c r="Z25" s="12"/>
      <c r="AA25" s="19"/>
      <c r="AB25" s="19"/>
      <c r="AI25" s="124"/>
      <c r="AJ25" s="121" t="s">
        <v>110</v>
      </c>
      <c r="AK25" s="122" t="s">
        <v>27</v>
      </c>
      <c r="AL25" s="121"/>
      <c r="AM25" s="121"/>
      <c r="AN25" s="121"/>
      <c r="AO25" s="121"/>
      <c r="AP25" s="121"/>
      <c r="AQ25" s="121"/>
      <c r="AR25" s="121"/>
    </row>
    <row r="26" spans="1:44" x14ac:dyDescent="0.25">
      <c r="A26" s="32"/>
      <c r="B26" s="129"/>
      <c r="C26" s="130"/>
      <c r="D26" s="132"/>
      <c r="E26" s="130"/>
      <c r="F26" s="130"/>
      <c r="G26" s="133"/>
      <c r="H26" s="130"/>
      <c r="I26" s="16"/>
      <c r="J26" s="32"/>
      <c r="K26" s="39" t="s">
        <v>201</v>
      </c>
      <c r="L26" s="39" t="s">
        <v>202</v>
      </c>
      <c r="M26" s="1">
        <v>0</v>
      </c>
      <c r="N26" s="19"/>
      <c r="O26" s="19"/>
      <c r="P26" s="12"/>
      <c r="Q26" s="32"/>
      <c r="R26" s="19"/>
      <c r="S26" s="19"/>
      <c r="T26" s="19"/>
      <c r="U26" s="19"/>
      <c r="V26" s="19"/>
      <c r="W26" s="19"/>
      <c r="X26" s="19"/>
      <c r="Y26" s="19"/>
      <c r="Z26" s="12"/>
      <c r="AA26" s="19"/>
      <c r="AB26" s="19"/>
      <c r="AI26" s="124"/>
      <c r="AJ26" s="121" t="s">
        <v>197</v>
      </c>
      <c r="AK26" s="121" t="s">
        <v>202</v>
      </c>
      <c r="AL26" s="121">
        <v>5.9999999999999995E-4</v>
      </c>
      <c r="AM26" s="121">
        <v>5.9999999999999995E-4</v>
      </c>
      <c r="AN26" s="121"/>
      <c r="AO26" s="121"/>
      <c r="AP26" s="121"/>
      <c r="AQ26" s="121"/>
      <c r="AR26" s="121"/>
    </row>
    <row r="27" spans="1:44" x14ac:dyDescent="0.25">
      <c r="A27" s="32"/>
      <c r="B27" s="129"/>
      <c r="C27" s="130"/>
      <c r="D27" s="132"/>
      <c r="E27" s="130"/>
      <c r="F27" s="130"/>
      <c r="G27" s="133"/>
      <c r="H27" s="130"/>
      <c r="I27" s="16"/>
      <c r="J27" s="32"/>
      <c r="K27" s="39" t="s">
        <v>33</v>
      </c>
      <c r="L27" s="39" t="s">
        <v>205</v>
      </c>
      <c r="M27" s="1">
        <v>0</v>
      </c>
      <c r="N27" s="19"/>
      <c r="O27" s="19"/>
      <c r="P27" s="12"/>
      <c r="Q27" s="32"/>
      <c r="R27" s="19"/>
      <c r="S27" s="19"/>
      <c r="T27" s="19"/>
      <c r="U27" s="19"/>
      <c r="V27" s="19"/>
      <c r="W27" s="19"/>
      <c r="X27" s="19"/>
      <c r="Y27" s="19"/>
      <c r="Z27" s="12"/>
      <c r="AA27" s="19"/>
      <c r="AB27" s="19"/>
      <c r="AI27" s="124"/>
      <c r="AJ27" s="121" t="s">
        <v>111</v>
      </c>
      <c r="AK27" s="121" t="s">
        <v>205</v>
      </c>
      <c r="AL27" s="121">
        <v>5.9999999999999995E-4</v>
      </c>
      <c r="AM27" s="121">
        <v>5.0000000000000001E-3</v>
      </c>
      <c r="AN27" s="121"/>
      <c r="AO27" s="121"/>
      <c r="AP27" s="121"/>
      <c r="AQ27" s="121"/>
      <c r="AR27" s="121"/>
    </row>
    <row r="28" spans="1:44" x14ac:dyDescent="0.25">
      <c r="A28" s="32"/>
      <c r="B28" s="129"/>
      <c r="C28" s="130"/>
      <c r="D28" s="131"/>
      <c r="E28" s="130"/>
      <c r="F28" s="130"/>
      <c r="G28" s="131"/>
      <c r="H28" s="130"/>
      <c r="I28" s="16"/>
      <c r="J28" s="32"/>
      <c r="K28" s="43" t="s">
        <v>57</v>
      </c>
      <c r="L28" s="43" t="s">
        <v>88</v>
      </c>
      <c r="M28" s="1">
        <v>0</v>
      </c>
      <c r="N28" s="19"/>
      <c r="O28" s="19"/>
      <c r="P28" s="12"/>
      <c r="Q28" s="32"/>
      <c r="R28" s="19"/>
      <c r="S28" s="19"/>
      <c r="T28" s="19"/>
      <c r="U28" s="19"/>
      <c r="V28" s="19"/>
      <c r="W28" s="19"/>
      <c r="X28" s="19"/>
      <c r="Y28" s="19"/>
      <c r="Z28" s="12"/>
      <c r="AA28" s="19"/>
      <c r="AB28" s="19"/>
      <c r="AI28" s="124"/>
      <c r="AJ28" s="121" t="s">
        <v>129</v>
      </c>
      <c r="AK28" s="121" t="s">
        <v>88</v>
      </c>
      <c r="AL28" s="121">
        <v>2.0000000000000001E-4</v>
      </c>
      <c r="AM28" s="121">
        <v>3.5999999999999999E-3</v>
      </c>
      <c r="AN28" s="121"/>
      <c r="AO28" s="121"/>
      <c r="AP28" s="121"/>
      <c r="AQ28" s="121"/>
      <c r="AR28" s="121"/>
    </row>
    <row r="29" spans="1:44" x14ac:dyDescent="0.25">
      <c r="A29" s="32"/>
      <c r="B29" s="52" t="s">
        <v>46</v>
      </c>
      <c r="C29" s="5">
        <v>0.5</v>
      </c>
      <c r="D29" s="8"/>
      <c r="E29" s="4">
        <f>C29</f>
        <v>0.5</v>
      </c>
      <c r="F29" s="5">
        <v>0</v>
      </c>
      <c r="G29" s="8"/>
      <c r="H29" s="4">
        <f>F29</f>
        <v>0</v>
      </c>
      <c r="I29" s="16"/>
      <c r="J29" s="32"/>
      <c r="K29" s="39" t="s">
        <v>31</v>
      </c>
      <c r="L29" s="39" t="s">
        <v>86</v>
      </c>
      <c r="M29" s="1">
        <v>0</v>
      </c>
      <c r="N29" s="19"/>
      <c r="O29" s="19"/>
      <c r="P29" s="12"/>
      <c r="Q29" s="32"/>
      <c r="R29" s="19"/>
      <c r="S29" s="19"/>
      <c r="T29" s="19"/>
      <c r="U29" s="19"/>
      <c r="V29" s="19"/>
      <c r="W29" s="19"/>
      <c r="X29" s="19"/>
      <c r="Y29" s="19"/>
      <c r="Z29" s="12"/>
      <c r="AA29" s="19"/>
      <c r="AB29" s="19"/>
      <c r="AJ29" s="121" t="s">
        <v>112</v>
      </c>
      <c r="AK29" s="121" t="s">
        <v>86</v>
      </c>
      <c r="AL29" s="121">
        <v>8.4999999999999995E-4</v>
      </c>
      <c r="AM29" s="121">
        <v>8.4999999999999995E-4</v>
      </c>
      <c r="AN29" s="121"/>
      <c r="AO29" s="121"/>
      <c r="AP29" s="121"/>
      <c r="AQ29" s="121"/>
      <c r="AR29" s="121"/>
    </row>
    <row r="30" spans="1:44" x14ac:dyDescent="0.25">
      <c r="A30" s="32"/>
      <c r="B30" s="52" t="s">
        <v>159</v>
      </c>
      <c r="C30" s="62">
        <f>IF(AL41&lt;=0.5,AL41,"Exceeds Current")</f>
        <v>0.14000000000000001</v>
      </c>
      <c r="D30" s="8"/>
      <c r="E30" s="4"/>
      <c r="F30" s="4"/>
      <c r="G30" s="8"/>
      <c r="H30" s="4"/>
      <c r="I30" s="16"/>
      <c r="J30" s="32"/>
      <c r="K30" s="39" t="s">
        <v>34</v>
      </c>
      <c r="L30" s="39" t="s">
        <v>89</v>
      </c>
      <c r="M30" s="6">
        <v>0</v>
      </c>
      <c r="N30" s="19"/>
      <c r="O30" s="19"/>
      <c r="P30" s="12"/>
      <c r="Q30" s="32"/>
      <c r="R30" s="19"/>
      <c r="S30" s="19"/>
      <c r="T30" s="19"/>
      <c r="U30" s="19"/>
      <c r="V30" s="19"/>
      <c r="W30" s="19"/>
      <c r="X30" s="19"/>
      <c r="Y30" s="19"/>
      <c r="Z30" s="12"/>
      <c r="AA30" s="19"/>
      <c r="AB30" s="19"/>
      <c r="AJ30" s="121" t="s">
        <v>113</v>
      </c>
      <c r="AK30" s="121" t="s">
        <v>89</v>
      </c>
      <c r="AL30" s="121">
        <v>8.4999999999999995E-4</v>
      </c>
      <c r="AM30" s="121">
        <v>3.5000000000000001E-3</v>
      </c>
      <c r="AN30" s="121"/>
      <c r="AO30" s="121"/>
      <c r="AP30" s="121"/>
      <c r="AQ30" s="121"/>
      <c r="AR30" s="121"/>
    </row>
    <row r="31" spans="1:44" ht="13" x14ac:dyDescent="0.3">
      <c r="A31" s="32"/>
      <c r="B31" s="52" t="s">
        <v>160</v>
      </c>
      <c r="C31" s="5">
        <v>0</v>
      </c>
      <c r="D31" s="8"/>
      <c r="E31" s="4">
        <f>C31</f>
        <v>0</v>
      </c>
      <c r="F31" s="5">
        <v>0</v>
      </c>
      <c r="G31" s="8"/>
      <c r="H31" s="4">
        <f>F31</f>
        <v>0</v>
      </c>
      <c r="I31" s="16"/>
      <c r="J31" s="32"/>
      <c r="K31" s="39" t="s">
        <v>203</v>
      </c>
      <c r="L31" s="43" t="s">
        <v>222</v>
      </c>
      <c r="M31" s="1">
        <v>0</v>
      </c>
      <c r="N31" s="19"/>
      <c r="O31" s="19"/>
      <c r="P31" s="12"/>
      <c r="Q31" s="32"/>
      <c r="R31" s="19"/>
      <c r="S31" s="19"/>
      <c r="T31" s="63"/>
      <c r="U31" s="63"/>
      <c r="V31" s="64"/>
      <c r="W31" s="19"/>
      <c r="X31" s="19"/>
      <c r="Y31" s="19"/>
      <c r="Z31" s="12"/>
      <c r="AA31" s="19"/>
      <c r="AB31" s="19"/>
      <c r="AJ31" s="121" t="s">
        <v>114</v>
      </c>
      <c r="AK31" s="121" t="s">
        <v>204</v>
      </c>
      <c r="AL31" s="121">
        <v>9.5E-4</v>
      </c>
      <c r="AM31" s="121">
        <v>3.0000000000000001E-3</v>
      </c>
      <c r="AN31" s="121"/>
      <c r="AO31" s="121"/>
      <c r="AP31" s="121"/>
      <c r="AQ31" s="121"/>
      <c r="AR31" s="121"/>
    </row>
    <row r="32" spans="1:44" x14ac:dyDescent="0.25">
      <c r="A32" s="32"/>
      <c r="B32" s="129"/>
      <c r="C32" s="134"/>
      <c r="D32" s="134"/>
      <c r="E32" s="134"/>
      <c r="F32" s="135"/>
      <c r="G32" s="136"/>
      <c r="H32" s="135"/>
      <c r="I32" s="16"/>
      <c r="J32" s="32"/>
      <c r="K32" s="39" t="s">
        <v>32</v>
      </c>
      <c r="L32" s="39" t="s">
        <v>87</v>
      </c>
      <c r="M32" s="1">
        <v>0</v>
      </c>
      <c r="N32" s="19"/>
      <c r="O32" s="19"/>
      <c r="P32" s="12"/>
      <c r="Q32" s="32"/>
      <c r="R32" s="19"/>
      <c r="S32" s="19"/>
      <c r="T32" s="67"/>
      <c r="U32" s="67"/>
      <c r="V32" s="64"/>
      <c r="W32" s="19"/>
      <c r="X32" s="19"/>
      <c r="Y32" s="19"/>
      <c r="Z32" s="12"/>
      <c r="AA32" s="19"/>
      <c r="AB32" s="19"/>
      <c r="AJ32" s="121" t="s">
        <v>115</v>
      </c>
      <c r="AK32" s="121" t="s">
        <v>87</v>
      </c>
      <c r="AL32" s="121">
        <v>1E-3</v>
      </c>
      <c r="AM32" s="121">
        <v>1E-3</v>
      </c>
      <c r="AN32" s="121"/>
      <c r="AO32" s="121"/>
      <c r="AP32" s="121"/>
      <c r="AQ32" s="121"/>
      <c r="AR32" s="121"/>
    </row>
    <row r="33" spans="1:44" ht="13" x14ac:dyDescent="0.3">
      <c r="A33" s="32"/>
      <c r="B33" s="52" t="s">
        <v>18</v>
      </c>
      <c r="C33" s="59"/>
      <c r="D33" s="59"/>
      <c r="E33" s="59"/>
      <c r="F33" s="5">
        <v>0</v>
      </c>
      <c r="G33" s="8"/>
      <c r="H33" s="4">
        <f>F33</f>
        <v>0</v>
      </c>
      <c r="I33" s="16"/>
      <c r="J33" s="32"/>
      <c r="K33" s="148" t="s">
        <v>211</v>
      </c>
      <c r="L33" s="149"/>
      <c r="M33" s="8"/>
      <c r="N33" s="19"/>
      <c r="O33" s="19"/>
      <c r="P33" s="12"/>
      <c r="Q33" s="32"/>
      <c r="R33" s="19"/>
      <c r="S33" s="19"/>
      <c r="T33" s="67"/>
      <c r="U33" s="67"/>
      <c r="V33" s="64"/>
      <c r="W33" s="19"/>
      <c r="X33" s="19"/>
      <c r="Y33" s="19"/>
      <c r="Z33" s="12"/>
      <c r="AA33" s="19"/>
      <c r="AB33" s="19"/>
      <c r="AJ33" s="121" t="s">
        <v>116</v>
      </c>
      <c r="AK33" s="126" t="s">
        <v>211</v>
      </c>
      <c r="AL33" s="121"/>
      <c r="AM33" s="121"/>
      <c r="AN33" s="121"/>
      <c r="AO33" s="121"/>
      <c r="AP33" s="121"/>
      <c r="AQ33" s="121"/>
      <c r="AR33" s="121"/>
    </row>
    <row r="34" spans="1:44" x14ac:dyDescent="0.25">
      <c r="A34" s="32"/>
      <c r="B34" s="52" t="s">
        <v>19</v>
      </c>
      <c r="C34" s="59"/>
      <c r="D34" s="59"/>
      <c r="E34" s="59"/>
      <c r="F34" s="5">
        <v>0</v>
      </c>
      <c r="G34" s="8"/>
      <c r="H34" s="4">
        <f>F34</f>
        <v>0</v>
      </c>
      <c r="I34" s="16"/>
      <c r="J34" s="32"/>
      <c r="K34" s="43" t="s">
        <v>55</v>
      </c>
      <c r="L34" s="43" t="s">
        <v>73</v>
      </c>
      <c r="M34" s="1">
        <v>0</v>
      </c>
      <c r="N34" s="19"/>
      <c r="O34" s="19"/>
      <c r="P34" s="12"/>
      <c r="Q34" s="32"/>
      <c r="R34" s="19"/>
      <c r="S34" s="19"/>
      <c r="T34" s="67"/>
      <c r="U34" s="67"/>
      <c r="V34" s="64"/>
      <c r="W34" s="19"/>
      <c r="X34" s="19"/>
      <c r="Y34" s="19"/>
      <c r="Z34" s="12"/>
      <c r="AA34" s="19"/>
      <c r="AB34" s="19"/>
      <c r="AJ34" s="121" t="s">
        <v>117</v>
      </c>
      <c r="AK34" s="121" t="s">
        <v>92</v>
      </c>
      <c r="AL34" s="121">
        <v>3.1E-4</v>
      </c>
      <c r="AM34" s="121">
        <v>6.0000000000000001E-3</v>
      </c>
      <c r="AN34" s="121"/>
      <c r="AO34" s="121"/>
      <c r="AP34" s="121"/>
      <c r="AQ34" s="121"/>
      <c r="AR34" s="121"/>
    </row>
    <row r="35" spans="1:44" x14ac:dyDescent="0.25">
      <c r="A35" s="32"/>
      <c r="B35" s="129"/>
      <c r="C35" s="137"/>
      <c r="D35" s="137"/>
      <c r="E35" s="137"/>
      <c r="F35" s="130"/>
      <c r="G35" s="138"/>
      <c r="H35" s="130"/>
      <c r="I35" s="16"/>
      <c r="J35" s="32"/>
      <c r="K35" s="43" t="s">
        <v>56</v>
      </c>
      <c r="L35" s="43" t="s">
        <v>74</v>
      </c>
      <c r="M35" s="1">
        <v>0</v>
      </c>
      <c r="N35" s="19"/>
      <c r="O35" s="19"/>
      <c r="P35" s="12"/>
      <c r="Q35" s="32"/>
      <c r="R35" s="19"/>
      <c r="S35" s="19"/>
      <c r="T35" s="64"/>
      <c r="U35" s="64"/>
      <c r="V35" s="64"/>
      <c r="W35" s="19"/>
      <c r="X35" s="19"/>
      <c r="Y35" s="19"/>
      <c r="Z35" s="12"/>
      <c r="AA35" s="19"/>
      <c r="AB35" s="19"/>
      <c r="AJ35" s="121" t="s">
        <v>118</v>
      </c>
      <c r="AK35" s="121" t="s">
        <v>93</v>
      </c>
      <c r="AL35" s="121">
        <v>7.5000000000000002E-4</v>
      </c>
      <c r="AM35" s="121">
        <v>8.3999999999999995E-3</v>
      </c>
      <c r="AN35" s="121"/>
      <c r="AO35" s="121"/>
      <c r="AP35" s="121"/>
      <c r="AQ35" s="121"/>
      <c r="AR35" s="121"/>
    </row>
    <row r="36" spans="1:44" x14ac:dyDescent="0.25">
      <c r="A36" s="32"/>
      <c r="B36" s="129"/>
      <c r="C36" s="137"/>
      <c r="D36" s="137"/>
      <c r="E36" s="137"/>
      <c r="F36" s="130"/>
      <c r="G36" s="138"/>
      <c r="H36" s="130"/>
      <c r="I36" s="16"/>
      <c r="J36" s="32"/>
      <c r="K36" s="43" t="s">
        <v>54</v>
      </c>
      <c r="L36" s="43" t="s">
        <v>79</v>
      </c>
      <c r="M36" s="1">
        <v>0</v>
      </c>
      <c r="N36" s="19"/>
      <c r="O36" s="19"/>
      <c r="P36" s="12"/>
      <c r="Q36" s="32"/>
      <c r="R36" s="19"/>
      <c r="S36" s="19"/>
      <c r="T36" s="19"/>
      <c r="U36" s="19"/>
      <c r="V36" s="19"/>
      <c r="W36" s="19"/>
      <c r="X36" s="19"/>
      <c r="Y36" s="19"/>
      <c r="Z36" s="12"/>
      <c r="AA36" s="19"/>
      <c r="AB36" s="19"/>
      <c r="AJ36" s="121" t="s">
        <v>119</v>
      </c>
      <c r="AK36" s="121" t="s">
        <v>91</v>
      </c>
      <c r="AL36" s="121">
        <v>1.4999999999999999E-4</v>
      </c>
      <c r="AM36" s="121">
        <v>3.0000000000000001E-3</v>
      </c>
      <c r="AN36" s="121"/>
      <c r="AO36" s="121"/>
      <c r="AP36" s="121"/>
      <c r="AQ36" s="121"/>
      <c r="AR36" s="121"/>
    </row>
    <row r="37" spans="1:44" ht="13" x14ac:dyDescent="0.3">
      <c r="A37" s="32"/>
      <c r="B37" s="68" t="s">
        <v>8</v>
      </c>
      <c r="C37" s="177" t="s">
        <v>153</v>
      </c>
      <c r="D37" s="178"/>
      <c r="E37" s="69">
        <f>SUM(E10:E36)</f>
        <v>0.68799999999999994</v>
      </c>
      <c r="F37" s="148" t="s">
        <v>152</v>
      </c>
      <c r="G37" s="149"/>
      <c r="H37" s="70">
        <f>SUM(H10:H36)</f>
        <v>0.33500000000000002</v>
      </c>
      <c r="I37" s="16"/>
      <c r="J37" s="32"/>
      <c r="K37" s="148" t="s">
        <v>206</v>
      </c>
      <c r="L37" s="149"/>
      <c r="M37" s="8"/>
      <c r="N37" s="19"/>
      <c r="O37" s="19"/>
      <c r="P37" s="12"/>
      <c r="Q37" s="32"/>
      <c r="R37" s="19"/>
      <c r="S37" s="19"/>
      <c r="T37" s="19"/>
      <c r="U37" s="19"/>
      <c r="V37" s="19"/>
      <c r="W37" s="19"/>
      <c r="X37" s="19"/>
      <c r="Y37" s="19"/>
      <c r="Z37" s="12"/>
      <c r="AA37" s="19"/>
      <c r="AB37" s="19"/>
      <c r="AJ37" s="121" t="s">
        <v>120</v>
      </c>
      <c r="AK37" s="122" t="s">
        <v>206</v>
      </c>
      <c r="AL37" s="121"/>
      <c r="AM37" s="121"/>
      <c r="AN37" s="121"/>
      <c r="AO37" s="121"/>
      <c r="AP37" s="121"/>
      <c r="AQ37" s="121"/>
      <c r="AR37" s="121"/>
    </row>
    <row r="38" spans="1:44" x14ac:dyDescent="0.25">
      <c r="A38" s="32"/>
      <c r="B38" s="52" t="s">
        <v>11</v>
      </c>
      <c r="C38" s="9">
        <v>24</v>
      </c>
      <c r="D38" s="71" t="s">
        <v>12</v>
      </c>
      <c r="E38" s="72">
        <f>E37*C38</f>
        <v>16.512</v>
      </c>
      <c r="F38" s="28" t="s">
        <v>139</v>
      </c>
      <c r="G38" s="73">
        <f>VLOOKUP(F38,AQ6:AR17,2,FALSE)</f>
        <v>8.3000000000000004E-2</v>
      </c>
      <c r="H38" s="74">
        <f>H37*G38</f>
        <v>2.7805000000000003E-2</v>
      </c>
      <c r="I38" s="17"/>
      <c r="J38" s="32"/>
      <c r="K38" s="39" t="s">
        <v>28</v>
      </c>
      <c r="L38" s="39" t="s">
        <v>84</v>
      </c>
      <c r="M38" s="1">
        <v>0</v>
      </c>
      <c r="N38" s="19"/>
      <c r="O38" s="19"/>
      <c r="P38" s="12"/>
      <c r="Q38" s="32"/>
      <c r="R38" s="19"/>
      <c r="S38" s="19"/>
      <c r="T38" s="50"/>
      <c r="U38" s="19"/>
      <c r="V38" s="19"/>
      <c r="W38" s="19"/>
      <c r="X38" s="19"/>
      <c r="Y38" s="19"/>
      <c r="Z38" s="12"/>
      <c r="AA38" s="19"/>
      <c r="AB38" s="19"/>
      <c r="AJ38" s="121" t="s">
        <v>121</v>
      </c>
      <c r="AK38" s="121" t="s">
        <v>84</v>
      </c>
      <c r="AL38" s="121">
        <v>3.4999999999999997E-5</v>
      </c>
      <c r="AM38" s="121">
        <v>3.4999999999999997E-5</v>
      </c>
      <c r="AN38" s="121"/>
      <c r="AO38" s="121"/>
      <c r="AP38" s="121"/>
      <c r="AQ38" s="121"/>
      <c r="AR38" s="121"/>
    </row>
    <row r="39" spans="1:44" x14ac:dyDescent="0.25">
      <c r="A39" s="32"/>
      <c r="B39" s="19"/>
      <c r="C39" s="159" t="s">
        <v>151</v>
      </c>
      <c r="D39" s="179"/>
      <c r="E39" s="179"/>
      <c r="F39" s="179"/>
      <c r="G39" s="180"/>
      <c r="H39" s="76">
        <f>E38</f>
        <v>16.512</v>
      </c>
      <c r="I39" s="17"/>
      <c r="J39" s="32"/>
      <c r="K39" s="39" t="s">
        <v>26</v>
      </c>
      <c r="L39" s="39" t="s">
        <v>29</v>
      </c>
      <c r="M39" s="1">
        <v>0</v>
      </c>
      <c r="N39" s="19"/>
      <c r="O39" s="19"/>
      <c r="P39" s="12"/>
      <c r="Q39" s="32"/>
      <c r="R39" s="19"/>
      <c r="S39" s="19"/>
      <c r="T39" s="19"/>
      <c r="U39" s="19"/>
      <c r="V39" s="19"/>
      <c r="W39" s="19"/>
      <c r="X39" s="19"/>
      <c r="Y39" s="19"/>
      <c r="Z39" s="12"/>
      <c r="AA39" s="19"/>
      <c r="AB39" s="19"/>
      <c r="AJ39" s="121" t="s">
        <v>122</v>
      </c>
      <c r="AK39" s="121" t="s">
        <v>29</v>
      </c>
      <c r="AL39" s="121"/>
      <c r="AM39" s="121"/>
      <c r="AN39" s="121"/>
      <c r="AO39" s="121"/>
      <c r="AP39" s="121"/>
      <c r="AQ39" s="121"/>
      <c r="AR39" s="121"/>
    </row>
    <row r="40" spans="1:44" ht="13" thickBot="1" x14ac:dyDescent="0.3">
      <c r="A40" s="32"/>
      <c r="B40" s="19"/>
      <c r="C40" s="181" t="s">
        <v>14</v>
      </c>
      <c r="D40" s="160"/>
      <c r="E40" s="160"/>
      <c r="F40" s="160"/>
      <c r="G40" s="182"/>
      <c r="H40" s="78">
        <f>SUM(H38:H39)</f>
        <v>16.539805000000001</v>
      </c>
      <c r="I40" s="17"/>
      <c r="J40" s="32"/>
      <c r="K40" s="39"/>
      <c r="L40" s="39"/>
      <c r="M40" s="79"/>
      <c r="N40" s="19"/>
      <c r="O40" s="19"/>
      <c r="P40" s="12"/>
      <c r="Q40" s="32"/>
      <c r="R40" s="19"/>
      <c r="S40" s="19"/>
      <c r="T40" s="19"/>
      <c r="U40" s="19"/>
      <c r="V40" s="19"/>
      <c r="W40" s="80" t="s">
        <v>44</v>
      </c>
      <c r="X40" s="19"/>
      <c r="Y40" s="19"/>
      <c r="Z40" s="12"/>
      <c r="AA40" s="19"/>
      <c r="AB40" s="19"/>
      <c r="AI40" s="124"/>
      <c r="AJ40" s="121"/>
      <c r="AK40" s="121"/>
      <c r="AL40" s="121"/>
      <c r="AM40" s="121"/>
      <c r="AN40" s="121"/>
      <c r="AO40" s="121"/>
      <c r="AP40" s="121"/>
      <c r="AQ40" s="121"/>
      <c r="AR40" s="121"/>
    </row>
    <row r="41" spans="1:44" ht="14" thickTop="1" thickBot="1" x14ac:dyDescent="0.35">
      <c r="A41" s="32"/>
      <c r="B41" s="49" t="str">
        <f>IF(H41&gt;48,"Exceeds AX-CTL Charger","")</f>
        <v/>
      </c>
      <c r="C41" s="159" t="s">
        <v>223</v>
      </c>
      <c r="D41" s="160"/>
      <c r="E41" s="160"/>
      <c r="F41" s="160"/>
      <c r="G41" s="160"/>
      <c r="H41" s="81">
        <f>H40*1.25</f>
        <v>20.674756250000002</v>
      </c>
      <c r="I41" s="14" t="s">
        <v>15</v>
      </c>
      <c r="J41" s="32"/>
      <c r="K41" s="39"/>
      <c r="L41" s="39"/>
      <c r="M41" s="79"/>
      <c r="N41" s="19"/>
      <c r="O41" s="19"/>
      <c r="P41" s="12"/>
      <c r="Q41" s="32"/>
      <c r="R41" s="19"/>
      <c r="S41" s="19"/>
      <c r="T41" s="19"/>
      <c r="U41" s="19"/>
      <c r="V41" s="19"/>
      <c r="W41" s="19"/>
      <c r="X41" s="19"/>
      <c r="Y41" s="19"/>
      <c r="Z41" s="12"/>
      <c r="AA41" s="19"/>
      <c r="AB41" s="19"/>
      <c r="AJ41" s="121"/>
      <c r="AK41" s="121" t="s">
        <v>158</v>
      </c>
      <c r="AL41" s="127">
        <f>SUM(H15,H18,H19,H20,H21,H23,H24,C31)</f>
        <v>0.14000000000000001</v>
      </c>
      <c r="AM41" s="121"/>
      <c r="AN41" s="121"/>
      <c r="AO41" s="121"/>
      <c r="AP41" s="121"/>
      <c r="AQ41" s="121"/>
      <c r="AR41" s="121"/>
    </row>
    <row r="42" spans="1:44" ht="9.75" customHeight="1" thickTop="1" x14ac:dyDescent="0.25">
      <c r="A42" s="32"/>
      <c r="B42" s="82"/>
      <c r="C42" s="19"/>
      <c r="D42" s="19"/>
      <c r="E42" s="19"/>
      <c r="F42" s="19"/>
      <c r="G42" s="19"/>
      <c r="H42" s="19"/>
      <c r="I42" s="12"/>
      <c r="J42" s="32"/>
      <c r="K42" s="19"/>
      <c r="L42" s="19"/>
      <c r="M42" s="50"/>
      <c r="N42" s="19"/>
      <c r="O42" s="19"/>
      <c r="P42" s="12"/>
      <c r="Q42" s="32"/>
      <c r="R42" s="19"/>
      <c r="S42" s="19"/>
      <c r="T42" s="19"/>
      <c r="U42" s="19"/>
      <c r="V42" s="19"/>
      <c r="W42" s="19"/>
      <c r="X42" s="19"/>
      <c r="Y42" s="19"/>
      <c r="Z42" s="12"/>
      <c r="AA42" s="19"/>
      <c r="AB42" s="19"/>
      <c r="AJ42" s="121"/>
      <c r="AK42" s="121"/>
      <c r="AL42" s="121"/>
      <c r="AM42" s="121"/>
      <c r="AN42" s="121"/>
      <c r="AO42" s="121"/>
      <c r="AP42" s="121"/>
      <c r="AQ42" s="121"/>
      <c r="AR42" s="121"/>
    </row>
    <row r="43" spans="1:44" ht="13" x14ac:dyDescent="0.3">
      <c r="A43" s="32"/>
      <c r="B43" s="20" t="s">
        <v>64</v>
      </c>
      <c r="C43" s="19"/>
      <c r="D43" s="19"/>
      <c r="E43" s="19"/>
      <c r="F43" s="19"/>
      <c r="G43" s="19"/>
      <c r="H43" s="19"/>
      <c r="I43" s="12"/>
      <c r="J43" s="32"/>
      <c r="K43" s="43" t="s">
        <v>157</v>
      </c>
      <c r="L43" s="10">
        <v>5</v>
      </c>
      <c r="M43" s="83">
        <f>SUM(M6*AL6)+(M7*AL7)+(M8*AL8)+(M9*AL9)+(M10*AL10)+(M11*AL11)+(M16*AL16)+(M18*AL18)+(M19*AL19)+(M20*AL20)+(M21*AL21)+(M23*AL23)+(M24*AL24)+(M26*AL26)+(M27*AL27)+(M28*AL28)+(M29*AL29)+(M30*AL30)+(M31*AL31)+(M32*AL32)+(M34*AL34)+(M35*AL35)+(M36*AL36)+(M38*AL38)</f>
        <v>0</v>
      </c>
      <c r="N43" s="21" t="s">
        <v>162</v>
      </c>
      <c r="O43" s="19"/>
      <c r="P43" s="12"/>
      <c r="Q43" s="84"/>
      <c r="R43" s="19"/>
      <c r="S43" s="19"/>
      <c r="T43" s="19"/>
      <c r="U43" s="19"/>
      <c r="V43" s="19"/>
      <c r="W43" s="19"/>
      <c r="X43" s="19"/>
      <c r="Y43" s="19"/>
      <c r="Z43" s="12"/>
      <c r="AA43" s="19"/>
      <c r="AB43" s="19"/>
      <c r="AJ43" s="121"/>
      <c r="AK43" s="121" t="s">
        <v>171</v>
      </c>
      <c r="AL43" s="121">
        <v>0</v>
      </c>
      <c r="AM43" s="121">
        <v>0</v>
      </c>
      <c r="AN43" s="121">
        <v>0</v>
      </c>
      <c r="AO43" s="121"/>
      <c r="AP43" s="121"/>
      <c r="AQ43" s="121"/>
      <c r="AR43" s="121"/>
    </row>
    <row r="44" spans="1:44" ht="13" x14ac:dyDescent="0.3">
      <c r="A44" s="32"/>
      <c r="B44" s="19" t="s">
        <v>63</v>
      </c>
      <c r="C44" s="19"/>
      <c r="D44" s="19"/>
      <c r="E44" s="19"/>
      <c r="F44" s="19"/>
      <c r="G44" s="19"/>
      <c r="H44" s="19"/>
      <c r="I44" s="12"/>
      <c r="J44" s="32"/>
      <c r="K44" s="19"/>
      <c r="L44" s="85"/>
      <c r="M44" s="83">
        <f>SUM(M6*AM6)+(M7*AM7)+(M8*AM8)+(M9*AM9)+(M10*AM10)+(M11*AM11)+(M15*AM15)+(M18*AM18)+(M19*AM19)+(M20*AM20)+(M21*AM21)+(M23*AM23)+(M24*AM24)+(M26*AM26)+(M27*AM27)+(M28*AM28)+(M29*AM29)+(M30*AM30)+(M31*AM31)+(M32*AM32)+(M34*AM34)+(M35*AM35)+(M36*AM36)+(M38*AM38)+(L45*0.005)</f>
        <v>0</v>
      </c>
      <c r="N44" s="21" t="s">
        <v>163</v>
      </c>
      <c r="O44" s="19"/>
      <c r="P44" s="12"/>
      <c r="Q44" s="32"/>
      <c r="R44" s="19"/>
      <c r="S44" s="19"/>
      <c r="T44" s="19"/>
      <c r="U44" s="19"/>
      <c r="V44" s="19"/>
      <c r="W44" s="19"/>
      <c r="X44" s="19"/>
      <c r="Y44" s="19"/>
      <c r="Z44" s="12"/>
      <c r="AA44" s="19"/>
      <c r="AB44" s="19"/>
      <c r="AJ44" s="121"/>
      <c r="AK44" s="121" t="s">
        <v>135</v>
      </c>
      <c r="AL44" s="121">
        <v>0.02</v>
      </c>
      <c r="AM44" s="121">
        <v>0.02</v>
      </c>
      <c r="AN44" s="121">
        <v>1</v>
      </c>
      <c r="AO44" s="121"/>
      <c r="AP44" s="121"/>
      <c r="AQ44" s="121"/>
      <c r="AR44" s="121"/>
    </row>
    <row r="45" spans="1:44" ht="13" x14ac:dyDescent="0.3">
      <c r="A45" s="32"/>
      <c r="B45" s="19" t="s">
        <v>65</v>
      </c>
      <c r="C45" s="19"/>
      <c r="D45" s="19"/>
      <c r="E45" s="19"/>
      <c r="F45" s="19"/>
      <c r="G45" s="19"/>
      <c r="H45" s="19"/>
      <c r="I45" s="12"/>
      <c r="J45" s="32"/>
      <c r="K45" s="21" t="s">
        <v>156</v>
      </c>
      <c r="L45" s="33">
        <f>IF(SUM(M6,M7,M8,M9,M10,M11,M23,M24,M26,M27,M28,M29,M31)&lt;$L43,SUM(M6,M7,M8,M9,M10,M11,M23,M24,M26,M27,M28,M29,M31),$L43)</f>
        <v>0</v>
      </c>
      <c r="M45" s="86"/>
      <c r="N45" s="19"/>
      <c r="O45" s="19"/>
      <c r="P45" s="12"/>
      <c r="Q45" s="32"/>
      <c r="R45" s="19"/>
      <c r="S45" s="19"/>
      <c r="T45" s="19"/>
      <c r="U45" s="19"/>
      <c r="V45" s="19"/>
      <c r="W45" s="19"/>
      <c r="X45" s="19"/>
      <c r="Y45" s="19"/>
      <c r="Z45" s="12"/>
      <c r="AA45" s="19"/>
      <c r="AB45" s="19"/>
      <c r="AJ45" s="121"/>
      <c r="AK45" s="121" t="s">
        <v>134</v>
      </c>
      <c r="AL45" s="121">
        <v>6.2E-2</v>
      </c>
      <c r="AM45" s="121">
        <v>6.2E-2</v>
      </c>
      <c r="AN45" s="121">
        <v>1</v>
      </c>
      <c r="AO45" s="121"/>
      <c r="AP45" s="121"/>
      <c r="AQ45" s="121"/>
      <c r="AR45" s="121"/>
    </row>
    <row r="46" spans="1:44" x14ac:dyDescent="0.25">
      <c r="A46" s="32"/>
      <c r="B46" s="19" t="s">
        <v>16</v>
      </c>
      <c r="C46" s="19"/>
      <c r="D46" s="19"/>
      <c r="E46" s="19"/>
      <c r="F46" s="19"/>
      <c r="G46" s="19"/>
      <c r="H46" s="19"/>
      <c r="I46" s="12"/>
      <c r="J46" s="32"/>
      <c r="K46" s="187" t="s">
        <v>226</v>
      </c>
      <c r="L46" s="188"/>
      <c r="M46" s="87" t="str">
        <f>IF(M3&gt;126,"Exceeds","OK")</f>
        <v>OK</v>
      </c>
      <c r="N46" s="19"/>
      <c r="O46" s="19"/>
      <c r="P46" s="12"/>
      <c r="Q46" s="32"/>
      <c r="R46" s="19"/>
      <c r="S46" s="19"/>
      <c r="T46" s="19"/>
      <c r="U46" s="19"/>
      <c r="V46" s="19"/>
      <c r="W46" s="19"/>
      <c r="X46" s="19"/>
      <c r="Y46" s="19"/>
      <c r="Z46" s="12"/>
      <c r="AA46" s="19"/>
      <c r="AB46" s="19"/>
      <c r="AJ46" s="121"/>
      <c r="AK46" s="121"/>
      <c r="AL46" s="121"/>
      <c r="AM46" s="121"/>
      <c r="AN46" s="121"/>
      <c r="AO46" s="121"/>
      <c r="AP46" s="121"/>
      <c r="AQ46" s="121"/>
      <c r="AR46" s="121"/>
    </row>
    <row r="47" spans="1:44" x14ac:dyDescent="0.25">
      <c r="A47" s="32"/>
      <c r="B47" s="168"/>
      <c r="C47" s="169"/>
      <c r="D47" s="169"/>
      <c r="E47" s="169"/>
      <c r="F47" s="169"/>
      <c r="G47" s="169"/>
      <c r="H47" s="170"/>
      <c r="I47" s="12"/>
      <c r="J47" s="32"/>
      <c r="K47" s="19"/>
      <c r="L47" s="19"/>
      <c r="M47" s="19"/>
      <c r="N47" s="19"/>
      <c r="O47" s="19"/>
      <c r="P47" s="12"/>
      <c r="Q47" s="32"/>
      <c r="R47" s="19"/>
      <c r="S47" s="19"/>
      <c r="T47" s="19"/>
      <c r="U47" s="19"/>
      <c r="V47" s="19"/>
      <c r="W47" s="19"/>
      <c r="X47" s="19"/>
      <c r="Y47" s="19"/>
      <c r="Z47" s="12"/>
      <c r="AA47" s="19"/>
      <c r="AB47" s="19"/>
      <c r="AJ47" s="121"/>
      <c r="AK47" s="121"/>
      <c r="AL47" s="121"/>
      <c r="AM47" s="121"/>
      <c r="AN47" s="121"/>
      <c r="AO47" s="121"/>
      <c r="AP47" s="121"/>
      <c r="AQ47" s="121"/>
      <c r="AR47" s="121"/>
    </row>
    <row r="48" spans="1:44" x14ac:dyDescent="0.25">
      <c r="A48" s="32"/>
      <c r="B48" s="171"/>
      <c r="C48" s="172"/>
      <c r="D48" s="172"/>
      <c r="E48" s="172"/>
      <c r="F48" s="172"/>
      <c r="G48" s="172"/>
      <c r="H48" s="173"/>
      <c r="I48" s="12"/>
      <c r="J48" s="32"/>
      <c r="K48" s="183" t="s">
        <v>227</v>
      </c>
      <c r="L48" s="184"/>
      <c r="M48" s="39" t="str">
        <f>IF(M44&gt;0.5,"Exceeds","OK")</f>
        <v>OK</v>
      </c>
      <c r="N48" s="19"/>
      <c r="O48" s="19"/>
      <c r="P48" s="12"/>
      <c r="Q48" s="32"/>
      <c r="R48" s="19"/>
      <c r="S48" s="19"/>
      <c r="T48" s="19"/>
      <c r="U48" s="19"/>
      <c r="V48" s="19"/>
      <c r="W48" s="19"/>
      <c r="X48" s="19"/>
      <c r="Y48" s="19"/>
      <c r="Z48" s="12"/>
      <c r="AA48" s="19"/>
      <c r="AB48" s="19"/>
      <c r="AJ48" s="121"/>
      <c r="AK48" s="121"/>
      <c r="AL48" s="121"/>
      <c r="AM48" s="121"/>
      <c r="AN48" s="121"/>
      <c r="AO48" s="121"/>
      <c r="AP48" s="121"/>
      <c r="AQ48" s="121"/>
      <c r="AR48" s="121"/>
    </row>
    <row r="49" spans="1:58" x14ac:dyDescent="0.25">
      <c r="A49" s="32"/>
      <c r="B49" s="171"/>
      <c r="C49" s="172"/>
      <c r="D49" s="172"/>
      <c r="E49" s="172"/>
      <c r="F49" s="172"/>
      <c r="G49" s="172"/>
      <c r="H49" s="173"/>
      <c r="I49" s="12"/>
      <c r="J49" s="32"/>
      <c r="K49" s="19"/>
      <c r="L49" s="19"/>
      <c r="M49" s="19"/>
      <c r="N49" s="19"/>
      <c r="O49" s="19"/>
      <c r="P49" s="12"/>
      <c r="Q49" s="32"/>
      <c r="R49" s="19"/>
      <c r="S49" s="19"/>
      <c r="T49" s="19"/>
      <c r="U49" s="19"/>
      <c r="V49" s="19"/>
      <c r="W49" s="19"/>
      <c r="X49" s="19"/>
      <c r="Y49" s="19"/>
      <c r="Z49" s="12"/>
      <c r="AA49" s="19"/>
      <c r="AB49" s="19"/>
      <c r="AJ49" s="121"/>
      <c r="AK49" s="121"/>
      <c r="AL49" s="128"/>
      <c r="AM49" s="128"/>
      <c r="AN49" s="121"/>
      <c r="AO49" s="121"/>
      <c r="AP49" s="121"/>
      <c r="AQ49" s="121"/>
      <c r="AR49" s="121"/>
    </row>
    <row r="50" spans="1:58" x14ac:dyDescent="0.25">
      <c r="A50" s="32"/>
      <c r="B50" s="171"/>
      <c r="C50" s="172"/>
      <c r="D50" s="172"/>
      <c r="E50" s="172"/>
      <c r="F50" s="172"/>
      <c r="G50" s="172"/>
      <c r="H50" s="173"/>
      <c r="I50" s="12"/>
      <c r="J50" s="32"/>
      <c r="K50" s="19"/>
      <c r="L50" s="19"/>
      <c r="M50" s="19"/>
      <c r="N50" s="19"/>
      <c r="O50" s="19"/>
      <c r="P50" s="12"/>
      <c r="Q50" s="32"/>
      <c r="R50" s="19"/>
      <c r="S50" s="19"/>
      <c r="T50" s="19"/>
      <c r="U50" s="19"/>
      <c r="V50" s="19"/>
      <c r="W50" s="19"/>
      <c r="X50" s="19"/>
      <c r="Y50" s="19"/>
      <c r="Z50" s="12"/>
      <c r="AA50" s="19"/>
      <c r="AB50" s="19"/>
      <c r="AJ50" s="121"/>
      <c r="AK50" s="121" t="s">
        <v>178</v>
      </c>
      <c r="AL50" s="128">
        <v>0</v>
      </c>
      <c r="AM50" s="128">
        <v>0</v>
      </c>
      <c r="AN50" s="121"/>
      <c r="AO50" s="121"/>
      <c r="AP50" s="121"/>
      <c r="AQ50" s="121"/>
      <c r="AR50" s="121"/>
    </row>
    <row r="51" spans="1:58" x14ac:dyDescent="0.25">
      <c r="A51" s="32"/>
      <c r="B51" s="171"/>
      <c r="C51" s="172"/>
      <c r="D51" s="172"/>
      <c r="E51" s="172"/>
      <c r="F51" s="172"/>
      <c r="G51" s="172"/>
      <c r="H51" s="173"/>
      <c r="I51" s="12"/>
      <c r="J51" s="32"/>
      <c r="K51" s="19"/>
      <c r="L51" s="19"/>
      <c r="M51" s="19"/>
      <c r="N51" s="19"/>
      <c r="O51" s="19"/>
      <c r="P51" s="12"/>
      <c r="Q51" s="32"/>
      <c r="R51" s="19"/>
      <c r="S51" s="19"/>
      <c r="T51" s="19"/>
      <c r="U51" s="19"/>
      <c r="V51" s="19"/>
      <c r="W51" s="19"/>
      <c r="X51" s="19"/>
      <c r="Y51" s="19"/>
      <c r="Z51" s="12"/>
      <c r="AA51" s="19"/>
      <c r="AB51" s="19"/>
      <c r="AJ51" s="121"/>
      <c r="AK51" s="121" t="s">
        <v>179</v>
      </c>
      <c r="AL51" s="121">
        <v>0.03</v>
      </c>
      <c r="AM51" s="121">
        <v>0.03</v>
      </c>
      <c r="AN51" s="121"/>
      <c r="AO51" s="121"/>
      <c r="AP51" s="121"/>
      <c r="AQ51" s="121"/>
      <c r="AR51" s="121"/>
    </row>
    <row r="52" spans="1:58" x14ac:dyDescent="0.25">
      <c r="A52" s="32"/>
      <c r="B52" s="171"/>
      <c r="C52" s="172"/>
      <c r="D52" s="172"/>
      <c r="E52" s="172"/>
      <c r="F52" s="172"/>
      <c r="G52" s="172"/>
      <c r="H52" s="173"/>
      <c r="I52" s="12"/>
      <c r="J52" s="32"/>
      <c r="K52" s="19"/>
      <c r="L52" s="19"/>
      <c r="M52" s="19"/>
      <c r="N52" s="19"/>
      <c r="O52" s="19"/>
      <c r="P52" s="12"/>
      <c r="Q52" s="32"/>
      <c r="R52" s="19"/>
      <c r="S52" s="19"/>
      <c r="T52" s="19"/>
      <c r="U52" s="19"/>
      <c r="V52" s="19"/>
      <c r="W52" s="19"/>
      <c r="X52" s="19"/>
      <c r="Y52" s="19"/>
      <c r="Z52" s="12"/>
      <c r="AA52" s="19"/>
      <c r="AB52" s="19"/>
      <c r="AJ52" s="121"/>
      <c r="AK52" s="121"/>
      <c r="AL52" s="121"/>
      <c r="AM52" s="121"/>
      <c r="AN52" s="121"/>
      <c r="AO52" s="121"/>
      <c r="AP52" s="121"/>
      <c r="AQ52" s="121"/>
      <c r="AR52" s="121"/>
    </row>
    <row r="53" spans="1:58" x14ac:dyDescent="0.25">
      <c r="A53" s="32"/>
      <c r="B53" s="171"/>
      <c r="C53" s="172"/>
      <c r="D53" s="172"/>
      <c r="E53" s="172"/>
      <c r="F53" s="172"/>
      <c r="G53" s="172"/>
      <c r="H53" s="173"/>
      <c r="I53" s="12"/>
      <c r="J53" s="32"/>
      <c r="K53" s="19"/>
      <c r="L53" s="19"/>
      <c r="M53" s="19"/>
      <c r="N53" s="19"/>
      <c r="O53" s="19"/>
      <c r="P53" s="12"/>
      <c r="Q53" s="32"/>
      <c r="R53" s="19"/>
      <c r="S53" s="19"/>
      <c r="T53" s="19"/>
      <c r="U53" s="19"/>
      <c r="V53" s="19"/>
      <c r="W53" s="19"/>
      <c r="X53" s="19"/>
      <c r="Y53" s="19"/>
      <c r="Z53" s="12"/>
      <c r="AA53" s="19"/>
      <c r="AB53" s="19"/>
      <c r="AJ53" s="121"/>
      <c r="AK53" s="121"/>
      <c r="AL53" s="121"/>
      <c r="AM53" s="121"/>
      <c r="AN53" s="121"/>
      <c r="AO53" s="121"/>
      <c r="AP53" s="121"/>
      <c r="AQ53" s="121"/>
      <c r="AR53" s="121"/>
    </row>
    <row r="54" spans="1:58" x14ac:dyDescent="0.25">
      <c r="A54" s="32"/>
      <c r="B54" s="174"/>
      <c r="C54" s="175"/>
      <c r="D54" s="175"/>
      <c r="E54" s="175"/>
      <c r="F54" s="175"/>
      <c r="G54" s="175"/>
      <c r="H54" s="176"/>
      <c r="I54" s="12"/>
      <c r="J54" s="32"/>
      <c r="K54" s="19"/>
      <c r="L54" s="19"/>
      <c r="M54" s="19"/>
      <c r="N54" s="19"/>
      <c r="O54" s="19"/>
      <c r="P54" s="12"/>
      <c r="Q54" s="32"/>
      <c r="R54" s="19"/>
      <c r="S54" s="19"/>
      <c r="T54" s="19"/>
      <c r="U54" s="19"/>
      <c r="V54" s="19"/>
      <c r="W54" s="19"/>
      <c r="X54" s="19"/>
      <c r="Y54" s="19"/>
      <c r="Z54" s="12"/>
      <c r="AA54" s="19"/>
      <c r="AB54" s="19"/>
      <c r="AJ54" s="121"/>
      <c r="AK54" s="121" t="s">
        <v>137</v>
      </c>
      <c r="AL54" s="128">
        <v>0</v>
      </c>
      <c r="AM54" s="128">
        <v>0</v>
      </c>
      <c r="AN54" s="121">
        <v>0</v>
      </c>
      <c r="AO54" s="121"/>
      <c r="AP54" s="121"/>
      <c r="AQ54" s="121"/>
      <c r="AR54" s="121"/>
    </row>
    <row r="55" spans="1:58" ht="13" thickBot="1" x14ac:dyDescent="0.3">
      <c r="A55" s="88"/>
      <c r="B55" s="24"/>
      <c r="C55" s="24"/>
      <c r="D55" s="24"/>
      <c r="E55" s="24"/>
      <c r="F55" s="24"/>
      <c r="G55" s="24"/>
      <c r="H55" s="24"/>
      <c r="I55" s="18"/>
      <c r="J55" s="88"/>
      <c r="K55" s="24"/>
      <c r="L55" s="24"/>
      <c r="M55" s="24"/>
      <c r="N55" s="24"/>
      <c r="O55" s="24" t="s">
        <v>43</v>
      </c>
      <c r="P55" s="89" t="s">
        <v>132</v>
      </c>
      <c r="Q55" s="88"/>
      <c r="R55" s="24"/>
      <c r="S55" s="24"/>
      <c r="T55" s="24"/>
      <c r="U55" s="24"/>
      <c r="V55" s="24"/>
      <c r="W55" s="24"/>
      <c r="X55" s="24"/>
      <c r="Y55" s="24"/>
      <c r="Z55" s="18"/>
      <c r="AA55" s="19"/>
      <c r="AB55" s="19"/>
      <c r="AJ55" s="121"/>
      <c r="AK55" s="121" t="s">
        <v>136</v>
      </c>
      <c r="AL55" s="121">
        <v>7.0000000000000007E-2</v>
      </c>
      <c r="AM55" s="121">
        <v>7.0000000000000007E-2</v>
      </c>
      <c r="AN55" s="121">
        <v>1</v>
      </c>
      <c r="AO55" s="121"/>
      <c r="AP55" s="121"/>
      <c r="AQ55" s="121"/>
      <c r="AR55" s="121"/>
    </row>
    <row r="56" spans="1:58" s="19" customFormat="1" x14ac:dyDescent="0.25">
      <c r="AI56"/>
      <c r="AJ56" s="121"/>
      <c r="AK56" s="121" t="s">
        <v>138</v>
      </c>
      <c r="AL56" s="121">
        <v>0.11</v>
      </c>
      <c r="AM56" s="121">
        <v>0.11</v>
      </c>
      <c r="AN56" s="121">
        <v>1</v>
      </c>
      <c r="AO56" s="121"/>
      <c r="AP56" s="121"/>
      <c r="AQ56" s="121"/>
      <c r="AR56" s="121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</row>
    <row r="57" spans="1:58" s="19" customFormat="1" x14ac:dyDescent="0.25"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</row>
    <row r="58" spans="1:58" s="19" customFormat="1" x14ac:dyDescent="0.25"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</row>
    <row r="59" spans="1:58" s="19" customFormat="1" x14ac:dyDescent="0.25"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</row>
    <row r="60" spans="1:58" s="19" customFormat="1" x14ac:dyDescent="0.25"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</row>
    <row r="61" spans="1:58" s="19" customFormat="1" x14ac:dyDescent="0.25"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</row>
    <row r="62" spans="1:58" s="19" customFormat="1" x14ac:dyDescent="0.25"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</row>
    <row r="63" spans="1:58" s="19" customFormat="1" x14ac:dyDescent="0.25"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</row>
    <row r="64" spans="1:58" s="19" customFormat="1" x14ac:dyDescent="0.25"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</row>
    <row r="65" spans="35:58" s="19" customFormat="1" x14ac:dyDescent="0.25"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</row>
    <row r="78" spans="35:58" x14ac:dyDescent="0.25">
      <c r="AK78" s="121"/>
      <c r="AL78" s="121"/>
      <c r="AM78" s="121"/>
      <c r="AN78" s="121"/>
    </row>
    <row r="79" spans="35:58" x14ac:dyDescent="0.25">
      <c r="AK79" s="121">
        <v>123</v>
      </c>
      <c r="AL79" s="121">
        <v>0</v>
      </c>
      <c r="AM79" s="121">
        <v>0</v>
      </c>
      <c r="AN79" s="121">
        <v>0</v>
      </c>
    </row>
    <row r="80" spans="35:58" x14ac:dyDescent="0.25">
      <c r="AK80" s="121">
        <v>124</v>
      </c>
      <c r="AL80" s="121">
        <v>1</v>
      </c>
      <c r="AM80" s="121">
        <v>1</v>
      </c>
      <c r="AN80" s="121">
        <v>1</v>
      </c>
    </row>
    <row r="81" spans="37:40" x14ac:dyDescent="0.25">
      <c r="AK81" s="121">
        <v>125</v>
      </c>
      <c r="AL81" s="121">
        <v>1</v>
      </c>
      <c r="AM81" s="121">
        <v>2</v>
      </c>
      <c r="AN81" s="121">
        <v>2</v>
      </c>
    </row>
    <row r="82" spans="37:40" x14ac:dyDescent="0.25">
      <c r="AK82" s="121"/>
      <c r="AL82" s="121"/>
      <c r="AM82" s="121"/>
      <c r="AN82" s="121"/>
    </row>
  </sheetData>
  <sheetProtection password="8A69" sheet="1" selectLockedCells="1"/>
  <dataConsolidate/>
  <mergeCells count="23">
    <mergeCell ref="K48:L48"/>
    <mergeCell ref="K22:L22"/>
    <mergeCell ref="K25:L25"/>
    <mergeCell ref="K37:L37"/>
    <mergeCell ref="K12:L12"/>
    <mergeCell ref="K17:L17"/>
    <mergeCell ref="K46:L46"/>
    <mergeCell ref="B47:H54"/>
    <mergeCell ref="C37:D37"/>
    <mergeCell ref="F37:G37"/>
    <mergeCell ref="C39:G39"/>
    <mergeCell ref="C40:G40"/>
    <mergeCell ref="C41:G41"/>
    <mergeCell ref="C4:H4"/>
    <mergeCell ref="C5:E5"/>
    <mergeCell ref="G5:H5"/>
    <mergeCell ref="K13:L13"/>
    <mergeCell ref="K33:L33"/>
    <mergeCell ref="R2:Y2"/>
    <mergeCell ref="R4:Y4"/>
    <mergeCell ref="K5:L5"/>
    <mergeCell ref="A1:I2"/>
    <mergeCell ref="A3:I3"/>
  </mergeCells>
  <conditionalFormatting sqref="B41">
    <cfRule type="containsText" dxfId="59" priority="1" stopIfTrue="1" operator="containsText" text="Exceeds">
      <formula>NOT(ISERROR(SEARCH("Exceeds",B41)))</formula>
    </cfRule>
  </conditionalFormatting>
  <conditionalFormatting sqref="C30">
    <cfRule type="containsText" dxfId="58" priority="4" stopIfTrue="1" operator="containsText" text="Exceeds">
      <formula>NOT(ISERROR(SEARCH("Exceeds",C30)))</formula>
    </cfRule>
  </conditionalFormatting>
  <conditionalFormatting sqref="H41">
    <cfRule type="cellIs" dxfId="57" priority="2" stopIfTrue="1" operator="greaterThan">
      <formula>$AR$20</formula>
    </cfRule>
  </conditionalFormatting>
  <conditionalFormatting sqref="M46 M48">
    <cfRule type="containsText" dxfId="56" priority="6" stopIfTrue="1" operator="containsText" text="Exceeds">
      <formula>NOT(ISERROR(SEARCH("Exceeds",M46)))</formula>
    </cfRule>
  </conditionalFormatting>
  <conditionalFormatting sqref="Y6:Y7">
    <cfRule type="cellIs" dxfId="55" priority="31" stopIfTrue="1" operator="lessThan">
      <formula>16</formula>
    </cfRule>
    <cfRule type="cellIs" dxfId="54" priority="42" stopIfTrue="1" operator="greaterThan">
      <formula>16</formula>
    </cfRule>
  </conditionalFormatting>
  <conditionalFormatting sqref="Y9:Y10">
    <cfRule type="cellIs" dxfId="53" priority="23" stopIfTrue="1" operator="lessThan">
      <formula>16</formula>
    </cfRule>
    <cfRule type="cellIs" dxfId="52" priority="24" stopIfTrue="1" operator="greaterThan">
      <formula>16</formula>
    </cfRule>
  </conditionalFormatting>
  <conditionalFormatting sqref="Y12:Y13">
    <cfRule type="cellIs" dxfId="51" priority="9" stopIfTrue="1" operator="lessThan">
      <formula>16</formula>
    </cfRule>
    <cfRule type="cellIs" dxfId="50" priority="10" stopIfTrue="1" operator="greaterThan">
      <formula>16</formula>
    </cfRule>
  </conditionalFormatting>
  <conditionalFormatting sqref="Y15:Y16">
    <cfRule type="cellIs" dxfId="49" priority="7" stopIfTrue="1" operator="lessThan">
      <formula>16</formula>
    </cfRule>
    <cfRule type="cellIs" dxfId="48" priority="8" stopIfTrue="1" operator="greaterThan">
      <formula>16</formula>
    </cfRule>
  </conditionalFormatting>
  <dataValidations count="21">
    <dataValidation allowBlank="1" showInputMessage="1" showErrorMessage="1" promptTitle="NAC 1 Wire Length" prompt="Enter Total Wire Length_x000a_if Class A Out and Back" sqref="W6" xr:uid="{00000000-0002-0000-0000-000000000000}"/>
    <dataValidation allowBlank="1" showInputMessage="1" showErrorMessage="1" promptTitle="NAC 2 Wire Length" prompt="Enter Total Wire Length_x000a_if Class A Out and Back" sqref="W7" xr:uid="{00000000-0002-0000-0000-000001000000}"/>
    <dataValidation allowBlank="1" showInputMessage="1" showErrorMessage="1" promptTitle="User Notes" prompt="Enter any required special notes" sqref="B47:H54" xr:uid="{00000000-0002-0000-0000-000002000000}"/>
    <dataValidation type="whole" allowBlank="1" showInputMessage="1" showErrorMessage="1" error="Valid Range 1 - 50" promptTitle="Maximum Number of Device LED" prompt="Valid Range 1 - 50" sqref="L43" xr:uid="{00000000-0002-0000-0000-000003000000}">
      <formula1>1</formula1>
      <formula2>50</formula2>
    </dataValidation>
    <dataValidation type="decimal" allowBlank="1" showInputMessage="1" showErrorMessage="1" prompt="Valid Range 0 - 0.5" sqref="F30" xr:uid="{00000000-0002-0000-0000-000004000000}">
      <formula1>0</formula1>
      <formula2>0.5</formula2>
    </dataValidation>
    <dataValidation type="decimal" allowBlank="1" showInputMessage="1" showErrorMessage="1" promptTitle="Alarm Load" prompt="Valid Range 0 - 2.00" sqref="F35:F36" xr:uid="{00000000-0002-0000-0000-000005000000}">
      <formula1>0</formula1>
      <formula2>2</formula2>
    </dataValidation>
    <dataValidation type="decimal" allowBlank="1" showInputMessage="1" showErrorMessage="1" promptTitle="Aux 1 Current Load" prompt="Valid Range 0 - 0.5" sqref="F29 C29" xr:uid="{00000000-0002-0000-0000-000006000000}">
      <formula1>0</formula1>
      <formula2>0.5</formula2>
    </dataValidation>
    <dataValidation type="whole" allowBlank="1" showInputMessage="1" showErrorMessage="1" prompt="Valid Range 0 - 1" sqref="G32 G17 D16" xr:uid="{00000000-0002-0000-0000-000007000000}">
      <formula1>0</formula1>
      <formula2>1</formula2>
    </dataValidation>
    <dataValidation allowBlank="1" showInputMessage="1" showErrorMessage="1" promptTitle="Standby Duration" prompt="Enter standby period required in hours" sqref="C38" xr:uid="{00000000-0002-0000-0000-000008000000}"/>
    <dataValidation allowBlank="1" showInputMessage="1" showErrorMessage="1" prompt="Enter date" sqref="G5:H5" xr:uid="{00000000-0002-0000-0000-000009000000}"/>
    <dataValidation allowBlank="1" showInputMessage="1" showErrorMessage="1" prompt="Enter your name" sqref="C5:E5" xr:uid="{00000000-0002-0000-0000-00000A000000}"/>
    <dataValidation allowBlank="1" showInputMessage="1" showErrorMessage="1" prompt="Enter Project Name / Location" sqref="C4:H4" xr:uid="{00000000-0002-0000-0000-00000B000000}"/>
    <dataValidation type="whole" allowBlank="1" showInputMessage="1" showErrorMessage="1" prompt="Valid Range 0 - 16" sqref="D18:D19 D21" xr:uid="{00000000-0002-0000-0000-00000C000000}">
      <formula1>0</formula1>
      <formula2>16</formula2>
    </dataValidation>
    <dataValidation type="list" allowBlank="1" showInputMessage="1" showErrorMessage="1" promptTitle="LCD Backlight Battery Mode" prompt="Select AC Failure LCD Backlight Operation:_x000a_OFF_x000a_ON" sqref="B11" xr:uid="{00000000-0002-0000-0000-00000D000000}">
      <formula1>$AK$50:$AK$51</formula1>
    </dataValidation>
    <dataValidation type="list" allowBlank="1" showInputMessage="1" showErrorMessage="1" promptTitle="Select ipGateway Usage" prompt="ipGateway Network Interface/Wiring" sqref="B23" xr:uid="{00000000-0002-0000-0000-00000E000000}">
      <formula1>$AK$54:$AK$56</formula1>
    </dataValidation>
    <dataValidation type="list" allowBlank="1" showInputMessage="1" showErrorMessage="1" promptTitle="Network Style" prompt="Select Network Wiring_x000a_Style 4(B) or 7(A)" sqref="B14" xr:uid="{00000000-0002-0000-0000-00000F000000}">
      <formula1>$AK$43:$AK$45</formula1>
    </dataValidation>
    <dataValidation type="decimal" allowBlank="1" showInputMessage="1" showErrorMessage="1" promptTitle="NAC 2 Alarm Load" prompt="Valid Range 0 - 2_x000a_Refer to Voltage Drop Calculator on right" sqref="F34" xr:uid="{00000000-0002-0000-0000-000010000000}">
      <formula1>0</formula1>
      <formula2>2</formula2>
    </dataValidation>
    <dataValidation type="decimal" allowBlank="1" showInputMessage="1" showErrorMessage="1" promptTitle="NAC 1 Alarm Load" prompt="Valid Range 0 - 2_x000a_Refer to Voltage Drop Calculator on the right" sqref="F33" xr:uid="{00000000-0002-0000-0000-000011000000}">
      <formula1>0</formula1>
      <formula2>2</formula2>
    </dataValidation>
    <dataValidation type="list" allowBlank="1" showInputMessage="1" showErrorMessage="1" promptTitle="Alarm Duration" prompt="Enter alarm duration_x000a_via dropdown menu" sqref="F38" xr:uid="{00000000-0002-0000-0000-000012000000}">
      <formula1>$AQ$6:$AQ$17</formula1>
    </dataValidation>
    <dataValidation allowBlank="1" showInputMessage="1" showErrorMessage="1" promptTitle="Aux 2 Current Load" prompt="Valid Range 0 - 0.5" sqref="C31 F31" xr:uid="{00000000-0002-0000-0000-000013000000}"/>
    <dataValidation type="whole" allowBlank="1" showInputMessage="1" showErrorMessage="1" prompt="Due to Alarm Current Draw_x000a_Valid Range 0 - 1" sqref="D24" xr:uid="{00000000-0002-0000-0000-000014000000}">
      <formula1>0</formula1>
      <formula2>1</formula2>
    </dataValidation>
  </dataValidations>
  <pageMargins left="0.75" right="0.75" top="1" bottom="1" header="0.5" footer="0.5"/>
  <pageSetup paperSize="9" scale="53" fitToWidth="3" orientation="portrait" r:id="rId1"/>
  <headerFooter alignWithMargins="0"/>
  <ignoredErrors>
    <ignoredError sqref="P55" numberStoredAsText="1"/>
    <ignoredError sqref="C3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E81"/>
  <sheetViews>
    <sheetView zoomScale="91" workbookViewId="0">
      <selection activeCell="C4" sqref="C4:H4"/>
    </sheetView>
  </sheetViews>
  <sheetFormatPr defaultColWidth="9.1796875" defaultRowHeight="12.5" x14ac:dyDescent="0.25"/>
  <cols>
    <col min="1" max="1" width="5.54296875" customWidth="1"/>
    <col min="2" max="2" width="26.54296875" customWidth="1"/>
    <col min="3" max="3" width="17" bestFit="1" customWidth="1"/>
    <col min="4" max="4" width="5.7265625" customWidth="1"/>
    <col min="5" max="6" width="9.26953125" bestFit="1" customWidth="1"/>
    <col min="7" max="7" width="8.453125" customWidth="1"/>
    <col min="8" max="8" width="10.7265625" customWidth="1"/>
    <col min="9" max="9" width="5.54296875" customWidth="1"/>
    <col min="10" max="10" width="4.7265625" customWidth="1"/>
    <col min="11" max="11" width="19.453125" customWidth="1"/>
    <col min="12" max="12" width="41.81640625" customWidth="1"/>
    <col min="13" max="14" width="8.7265625" customWidth="1"/>
    <col min="16" max="16" width="9.1796875" customWidth="1"/>
    <col min="17" max="17" width="3.81640625" customWidth="1"/>
    <col min="18" max="18" width="0.7265625" customWidth="1"/>
    <col min="19" max="19" width="3" customWidth="1"/>
    <col min="20" max="20" width="14.81640625" customWidth="1"/>
    <col min="22" max="22" width="11" customWidth="1"/>
    <col min="25" max="25" width="13.1796875" customWidth="1"/>
    <col min="26" max="26" width="10.81640625" customWidth="1"/>
    <col min="27" max="27" width="10.7265625" customWidth="1"/>
    <col min="29" max="32" width="9.1796875" style="19"/>
    <col min="33" max="33" width="7.1796875" style="19" customWidth="1"/>
    <col min="34" max="35" width="9.1796875" style="19" customWidth="1"/>
    <col min="36" max="36" width="9.1796875" style="19"/>
    <col min="37" max="37" width="9.1796875" customWidth="1"/>
    <col min="38" max="38" width="30.54296875" customWidth="1"/>
    <col min="39" max="40" width="9.81640625" customWidth="1"/>
    <col min="41" max="41" width="14.1796875" customWidth="1"/>
    <col min="42" max="45" width="9.1796875" customWidth="1"/>
  </cols>
  <sheetData>
    <row r="1" spans="1:45" x14ac:dyDescent="0.25">
      <c r="A1" s="150" t="s">
        <v>217</v>
      </c>
      <c r="B1" s="151"/>
      <c r="C1" s="151"/>
      <c r="D1" s="151"/>
      <c r="E1" s="151"/>
      <c r="F1" s="151"/>
      <c r="G1" s="151"/>
      <c r="H1" s="151"/>
      <c r="I1" s="152"/>
      <c r="J1" s="29"/>
      <c r="K1" s="30"/>
      <c r="L1" s="30"/>
      <c r="M1" s="90"/>
      <c r="N1" s="30"/>
      <c r="O1" s="30"/>
      <c r="P1" s="30"/>
      <c r="Q1" s="31"/>
      <c r="R1" s="29"/>
      <c r="S1" s="30"/>
      <c r="T1" s="30"/>
      <c r="U1" s="30"/>
      <c r="V1" s="30"/>
      <c r="W1" s="30"/>
      <c r="X1" s="30"/>
      <c r="Y1" s="30"/>
      <c r="Z1" s="30"/>
      <c r="AA1" s="30"/>
      <c r="AB1" s="31"/>
    </row>
    <row r="2" spans="1:45" ht="13" x14ac:dyDescent="0.3">
      <c r="A2" s="153"/>
      <c r="B2" s="154"/>
      <c r="C2" s="154"/>
      <c r="D2" s="154"/>
      <c r="E2" s="154"/>
      <c r="F2" s="154"/>
      <c r="G2" s="154"/>
      <c r="H2" s="154"/>
      <c r="I2" s="155"/>
      <c r="J2" s="32"/>
      <c r="K2" s="19"/>
      <c r="L2" s="19"/>
      <c r="M2" s="19"/>
      <c r="N2" s="19"/>
      <c r="O2" s="19"/>
      <c r="P2" s="19"/>
      <c r="Q2" s="12"/>
      <c r="R2" s="32"/>
      <c r="S2" s="19"/>
      <c r="T2" s="146"/>
      <c r="U2" s="146"/>
      <c r="V2" s="146"/>
      <c r="W2" s="146"/>
      <c r="X2" s="146"/>
      <c r="Y2" s="146"/>
      <c r="Z2" s="146"/>
      <c r="AA2" s="146"/>
      <c r="AB2" s="12"/>
    </row>
    <row r="3" spans="1:45" x14ac:dyDescent="0.25">
      <c r="A3" s="156" t="s">
        <v>194</v>
      </c>
      <c r="B3" s="157"/>
      <c r="C3" s="157"/>
      <c r="D3" s="157"/>
      <c r="E3" s="157"/>
      <c r="F3" s="157"/>
      <c r="G3" s="157"/>
      <c r="H3" s="157"/>
      <c r="I3" s="158"/>
      <c r="J3" s="32"/>
      <c r="K3" s="19"/>
      <c r="L3" s="19"/>
      <c r="M3" s="33">
        <f>SUM(M6,M7,M8,M9,M10,M11,M20,M21,M23,M24,M26,M27,M28,M29,M30, M31,M32,M34,M35,M36)</f>
        <v>0</v>
      </c>
      <c r="N3" s="33">
        <f>SUM(N6,N7,N8,N9,N10,N11,N20,N21,N23,N24,N26,N27,N28,N29,N30, N31,N32,N34,N35,N36)</f>
        <v>0</v>
      </c>
      <c r="O3" s="19"/>
      <c r="P3" s="19"/>
      <c r="Q3" s="12"/>
      <c r="R3" s="32"/>
      <c r="S3" s="19"/>
      <c r="T3" s="19"/>
      <c r="U3" s="34"/>
      <c r="V3" s="34"/>
      <c r="W3" s="34"/>
      <c r="X3" s="34"/>
      <c r="Y3" s="34"/>
      <c r="Z3" s="34"/>
      <c r="AA3" s="34"/>
      <c r="AB3" s="12"/>
    </row>
    <row r="4" spans="1:45" ht="24.75" customHeight="1" x14ac:dyDescent="0.35">
      <c r="A4" s="35"/>
      <c r="B4" s="36" t="s">
        <v>164</v>
      </c>
      <c r="C4" s="161"/>
      <c r="D4" s="189"/>
      <c r="E4" s="189"/>
      <c r="F4" s="189"/>
      <c r="G4" s="189"/>
      <c r="H4" s="190"/>
      <c r="I4" s="12"/>
      <c r="J4" s="32"/>
      <c r="K4" s="19"/>
      <c r="L4" s="19"/>
      <c r="M4" s="36" t="s">
        <v>58</v>
      </c>
      <c r="N4" s="36" t="s">
        <v>58</v>
      </c>
      <c r="O4" s="19"/>
      <c r="P4" s="19"/>
      <c r="Q4" s="12"/>
      <c r="R4" s="32"/>
      <c r="S4" s="19"/>
      <c r="T4" s="147" t="s">
        <v>170</v>
      </c>
      <c r="U4" s="147"/>
      <c r="V4" s="147"/>
      <c r="W4" s="147"/>
      <c r="X4" s="147"/>
      <c r="Y4" s="147"/>
      <c r="Z4" s="147"/>
      <c r="AA4" s="147"/>
      <c r="AB4" s="37"/>
    </row>
    <row r="5" spans="1:45" ht="39.5" x14ac:dyDescent="0.35">
      <c r="A5" s="35"/>
      <c r="B5" s="38" t="s">
        <v>1</v>
      </c>
      <c r="C5" s="164"/>
      <c r="D5" s="189"/>
      <c r="E5" s="190"/>
      <c r="F5" s="39" t="s">
        <v>2</v>
      </c>
      <c r="G5" s="165"/>
      <c r="H5" s="191"/>
      <c r="I5" s="13"/>
      <c r="J5" s="32"/>
      <c r="K5" s="148" t="s">
        <v>20</v>
      </c>
      <c r="L5" s="149"/>
      <c r="M5" s="40" t="s">
        <v>39</v>
      </c>
      <c r="N5" s="40" t="s">
        <v>40</v>
      </c>
      <c r="O5" s="19"/>
      <c r="P5" s="19"/>
      <c r="Q5" s="12"/>
      <c r="R5" s="32"/>
      <c r="S5" s="19"/>
      <c r="T5" s="19"/>
      <c r="U5" s="41" t="s">
        <v>165</v>
      </c>
      <c r="V5" s="41" t="s">
        <v>166</v>
      </c>
      <c r="W5" s="41" t="s">
        <v>167</v>
      </c>
      <c r="X5" s="41" t="s">
        <v>168</v>
      </c>
      <c r="Y5" s="41" t="s">
        <v>169</v>
      </c>
      <c r="Z5" s="41" t="s">
        <v>123</v>
      </c>
      <c r="AA5" s="41" t="s">
        <v>165</v>
      </c>
      <c r="AB5" s="37"/>
      <c r="AK5" s="121"/>
      <c r="AL5" s="122" t="s">
        <v>20</v>
      </c>
      <c r="AM5" s="123" t="s">
        <v>96</v>
      </c>
      <c r="AN5" s="123" t="s">
        <v>97</v>
      </c>
      <c r="AO5" s="121"/>
      <c r="AP5" s="121"/>
      <c r="AQ5" s="121"/>
      <c r="AR5" s="121"/>
      <c r="AS5" s="121"/>
    </row>
    <row r="6" spans="1:45" ht="15.5" x14ac:dyDescent="0.35">
      <c r="A6" s="35"/>
      <c r="B6" s="42"/>
      <c r="C6" s="42"/>
      <c r="D6" s="42"/>
      <c r="E6" s="19"/>
      <c r="F6" s="19"/>
      <c r="G6" s="19"/>
      <c r="H6" s="19"/>
      <c r="I6" s="12"/>
      <c r="J6" s="32"/>
      <c r="K6" s="43" t="s">
        <v>24</v>
      </c>
      <c r="L6" s="39" t="s">
        <v>77</v>
      </c>
      <c r="M6" s="7">
        <v>0</v>
      </c>
      <c r="N6" s="7">
        <v>0</v>
      </c>
      <c r="O6" s="19"/>
      <c r="P6" s="19"/>
      <c r="Q6" s="12"/>
      <c r="R6" s="32"/>
      <c r="S6" s="19"/>
      <c r="T6" s="44" t="s">
        <v>18</v>
      </c>
      <c r="U6" s="45">
        <f>SUM(23-(24*0.15))</f>
        <v>19.399999999999999</v>
      </c>
      <c r="V6" s="46">
        <f>SUM(F33)</f>
        <v>0</v>
      </c>
      <c r="W6" s="45">
        <v>12</v>
      </c>
      <c r="X6" s="45">
        <v>2</v>
      </c>
      <c r="Y6" s="7">
        <v>0</v>
      </c>
      <c r="Z6" s="39">
        <f>SUM(X6/1000)*(Y6)</f>
        <v>0</v>
      </c>
      <c r="AA6" s="39">
        <f>SUM(U6)-(Z6*V6)</f>
        <v>19.399999999999999</v>
      </c>
      <c r="AB6" s="12"/>
      <c r="AK6" s="121" t="s">
        <v>98</v>
      </c>
      <c r="AL6" s="121" t="s">
        <v>77</v>
      </c>
      <c r="AM6" s="121">
        <v>5.0000000000000001E-4</v>
      </c>
      <c r="AN6" s="121">
        <v>5.0000000000000001E-4</v>
      </c>
      <c r="AO6" s="121"/>
      <c r="AP6" s="121"/>
      <c r="AQ6" s="121"/>
      <c r="AR6" s="121" t="s">
        <v>139</v>
      </c>
      <c r="AS6" s="121">
        <v>8.3000000000000004E-2</v>
      </c>
    </row>
    <row r="7" spans="1:45" ht="15.5" x14ac:dyDescent="0.35">
      <c r="A7" s="32"/>
      <c r="B7" s="42"/>
      <c r="C7" s="19"/>
      <c r="D7" s="19"/>
      <c r="E7" s="19"/>
      <c r="F7" s="19"/>
      <c r="G7" s="19"/>
      <c r="H7" s="19"/>
      <c r="I7" s="12"/>
      <c r="J7" s="32"/>
      <c r="K7" s="43" t="s">
        <v>22</v>
      </c>
      <c r="L7" s="43" t="s">
        <v>75</v>
      </c>
      <c r="M7" s="1">
        <v>0</v>
      </c>
      <c r="N7" s="1">
        <v>0</v>
      </c>
      <c r="O7" s="19"/>
      <c r="P7" s="19"/>
      <c r="Q7" s="12"/>
      <c r="R7" s="32"/>
      <c r="S7" s="19"/>
      <c r="T7" s="44" t="s">
        <v>19</v>
      </c>
      <c r="U7" s="45">
        <f>SUM(23-(24*0.15))</f>
        <v>19.399999999999999</v>
      </c>
      <c r="V7" s="4">
        <f>SUM(F34)</f>
        <v>0</v>
      </c>
      <c r="W7" s="45">
        <v>12</v>
      </c>
      <c r="X7" s="45">
        <v>2</v>
      </c>
      <c r="Y7" s="7">
        <v>0</v>
      </c>
      <c r="Z7" s="39">
        <f>SUM(X7/1000)*(Y7)</f>
        <v>0</v>
      </c>
      <c r="AA7" s="39">
        <f>SUM(U7)-(Z7*V7)</f>
        <v>19.399999999999999</v>
      </c>
      <c r="AB7" s="12"/>
      <c r="AK7" s="121" t="s">
        <v>99</v>
      </c>
      <c r="AL7" s="121" t="s">
        <v>75</v>
      </c>
      <c r="AM7" s="121">
        <v>5.0000000000000001E-4</v>
      </c>
      <c r="AN7" s="121">
        <v>5.0000000000000001E-4</v>
      </c>
      <c r="AO7" s="121"/>
      <c r="AP7" s="121"/>
      <c r="AQ7" s="121"/>
      <c r="AR7" s="121" t="s">
        <v>140</v>
      </c>
      <c r="AS7" s="121">
        <v>0.16700000000000001</v>
      </c>
    </row>
    <row r="8" spans="1:45" ht="13" x14ac:dyDescent="0.3">
      <c r="A8" s="32"/>
      <c r="B8" s="21"/>
      <c r="C8" s="39"/>
      <c r="D8" s="47" t="s">
        <v>153</v>
      </c>
      <c r="E8" s="36"/>
      <c r="F8" s="39"/>
      <c r="G8" s="47" t="s">
        <v>152</v>
      </c>
      <c r="H8" s="36"/>
      <c r="I8" s="14"/>
      <c r="J8" s="32"/>
      <c r="K8" s="43" t="s">
        <v>25</v>
      </c>
      <c r="L8" s="39" t="s">
        <v>78</v>
      </c>
      <c r="M8" s="1">
        <v>0</v>
      </c>
      <c r="N8" s="1">
        <v>0</v>
      </c>
      <c r="O8" s="19"/>
      <c r="P8" s="19"/>
      <c r="Q8" s="12"/>
      <c r="R8" s="32"/>
      <c r="S8" s="19"/>
      <c r="T8" s="48"/>
      <c r="U8" s="49"/>
      <c r="V8" s="19"/>
      <c r="W8" s="49"/>
      <c r="X8" s="49"/>
      <c r="Y8" s="50"/>
      <c r="Z8" s="19"/>
      <c r="AA8" s="19"/>
      <c r="AB8" s="12"/>
      <c r="AK8" s="121" t="s">
        <v>100</v>
      </c>
      <c r="AL8" s="121" t="s">
        <v>78</v>
      </c>
      <c r="AM8" s="121">
        <v>5.0000000000000001E-4</v>
      </c>
      <c r="AN8" s="121">
        <v>5.0000000000000001E-4</v>
      </c>
      <c r="AO8" s="121"/>
      <c r="AP8" s="121"/>
      <c r="AQ8" s="121"/>
      <c r="AR8" s="121" t="s">
        <v>141</v>
      </c>
      <c r="AS8" s="121">
        <v>0.25</v>
      </c>
    </row>
    <row r="9" spans="1:45" ht="13" x14ac:dyDescent="0.3">
      <c r="A9" s="32"/>
      <c r="B9" s="36" t="s">
        <v>5</v>
      </c>
      <c r="C9" s="47" t="s">
        <v>6</v>
      </c>
      <c r="D9" s="47" t="s">
        <v>7</v>
      </c>
      <c r="E9" s="47" t="s">
        <v>8</v>
      </c>
      <c r="F9" s="47" t="s">
        <v>6</v>
      </c>
      <c r="G9" s="47" t="s">
        <v>7</v>
      </c>
      <c r="H9" s="47" t="s">
        <v>8</v>
      </c>
      <c r="I9" s="15"/>
      <c r="J9" s="32"/>
      <c r="K9" s="43" t="s">
        <v>23</v>
      </c>
      <c r="L9" s="43" t="s">
        <v>76</v>
      </c>
      <c r="M9" s="1">
        <v>0</v>
      </c>
      <c r="N9" s="1">
        <v>0</v>
      </c>
      <c r="O9" s="19"/>
      <c r="P9" s="19"/>
      <c r="Q9" s="12"/>
      <c r="R9" s="32"/>
      <c r="S9" s="19"/>
      <c r="T9" s="44" t="s">
        <v>18</v>
      </c>
      <c r="U9" s="45">
        <f>SUM(23-(24*0.15))</f>
        <v>19.399999999999999</v>
      </c>
      <c r="V9" s="46">
        <f>SUM(F33)</f>
        <v>0</v>
      </c>
      <c r="W9" s="45">
        <v>14</v>
      </c>
      <c r="X9" s="45">
        <v>2.6</v>
      </c>
      <c r="Y9" s="51">
        <f>SUM(Y6)</f>
        <v>0</v>
      </c>
      <c r="Z9" s="39">
        <f>SUM(X9/1000)*(Y9)</f>
        <v>0</v>
      </c>
      <c r="AA9" s="39">
        <f>SUM(U9)-(Z9*V9)</f>
        <v>19.399999999999999</v>
      </c>
      <c r="AB9" s="12"/>
      <c r="AK9" s="121" t="s">
        <v>101</v>
      </c>
      <c r="AL9" s="121" t="s">
        <v>76</v>
      </c>
      <c r="AM9" s="121">
        <v>4.0000000000000002E-4</v>
      </c>
      <c r="AN9" s="121">
        <v>4.0000000000000002E-4</v>
      </c>
      <c r="AO9" s="121"/>
      <c r="AP9" s="121"/>
      <c r="AQ9" s="121"/>
      <c r="AR9" s="121" t="s">
        <v>142</v>
      </c>
      <c r="AS9" s="121">
        <v>0.33400000000000002</v>
      </c>
    </row>
    <row r="10" spans="1:45" ht="13" x14ac:dyDescent="0.3">
      <c r="A10" s="32"/>
      <c r="B10" s="52" t="s">
        <v>17</v>
      </c>
      <c r="C10" s="4">
        <v>0.11</v>
      </c>
      <c r="D10" s="8">
        <v>1</v>
      </c>
      <c r="E10" s="4">
        <f t="shared" ref="E10:E16" si="0">C10*D10</f>
        <v>0.11</v>
      </c>
      <c r="F10" s="4">
        <v>0.19500000000000001</v>
      </c>
      <c r="G10" s="8">
        <v>1</v>
      </c>
      <c r="H10" s="4">
        <f>F10*G10</f>
        <v>0.19500000000000001</v>
      </c>
      <c r="I10" s="16"/>
      <c r="J10" s="32"/>
      <c r="K10" s="43" t="s">
        <v>154</v>
      </c>
      <c r="L10" s="53" t="s">
        <v>155</v>
      </c>
      <c r="M10" s="1">
        <v>0</v>
      </c>
      <c r="N10" s="1">
        <v>0</v>
      </c>
      <c r="O10" s="19"/>
      <c r="P10" s="19"/>
      <c r="Q10" s="12"/>
      <c r="R10" s="32"/>
      <c r="S10" s="19"/>
      <c r="T10" s="44" t="s">
        <v>19</v>
      </c>
      <c r="U10" s="45">
        <f>SUM(23-(24*0.15))</f>
        <v>19.399999999999999</v>
      </c>
      <c r="V10" s="4">
        <f>SUM(F34)</f>
        <v>0</v>
      </c>
      <c r="W10" s="45">
        <v>14</v>
      </c>
      <c r="X10" s="45">
        <v>2.6</v>
      </c>
      <c r="Y10" s="51">
        <f>SUM(Y7)</f>
        <v>0</v>
      </c>
      <c r="Z10" s="39">
        <f>SUM(X10/1000)*(Y10)</f>
        <v>0</v>
      </c>
      <c r="AA10" s="39">
        <f>SUM(U10)-(Z10*V10)</f>
        <v>19.399999999999999</v>
      </c>
      <c r="AB10" s="12"/>
      <c r="AK10" s="121" t="s">
        <v>102</v>
      </c>
      <c r="AL10" s="121" t="s">
        <v>154</v>
      </c>
      <c r="AM10" s="121">
        <v>3.4000000000000002E-4</v>
      </c>
      <c r="AN10" s="121">
        <v>3.4000000000000002E-4</v>
      </c>
      <c r="AO10" s="121"/>
      <c r="AP10" s="121"/>
      <c r="AQ10" s="121"/>
      <c r="AR10" s="121" t="s">
        <v>143</v>
      </c>
      <c r="AS10" s="121">
        <v>0.41699999999999998</v>
      </c>
    </row>
    <row r="11" spans="1:45" ht="13" x14ac:dyDescent="0.3">
      <c r="A11" s="32"/>
      <c r="B11" s="25" t="s">
        <v>178</v>
      </c>
      <c r="C11" s="4">
        <f>VLOOKUP(B11,AL49:AN51,2,FALSE)</f>
        <v>0</v>
      </c>
      <c r="D11" s="8">
        <v>1</v>
      </c>
      <c r="E11" s="4">
        <f t="shared" si="0"/>
        <v>0</v>
      </c>
      <c r="F11" s="4">
        <f>VLOOKUP(B11,AL49:AN51,3,FALSE)</f>
        <v>0</v>
      </c>
      <c r="G11" s="8">
        <v>1</v>
      </c>
      <c r="H11" s="4">
        <f>F11*G11</f>
        <v>0</v>
      </c>
      <c r="I11" s="16"/>
      <c r="J11" s="32"/>
      <c r="K11" s="43" t="s">
        <v>181</v>
      </c>
      <c r="L11" s="43" t="s">
        <v>182</v>
      </c>
      <c r="M11" s="1">
        <v>0</v>
      </c>
      <c r="N11" s="1">
        <v>0</v>
      </c>
      <c r="O11" s="19"/>
      <c r="P11" s="19"/>
      <c r="Q11" s="12"/>
      <c r="R11" s="32"/>
      <c r="S11" s="19"/>
      <c r="T11" s="48"/>
      <c r="U11" s="49"/>
      <c r="V11" s="19"/>
      <c r="W11" s="49"/>
      <c r="X11" s="49"/>
      <c r="Y11" s="50"/>
      <c r="Z11" s="19"/>
      <c r="AA11" s="19"/>
      <c r="AB11" s="12"/>
      <c r="AK11" s="121" t="s">
        <v>103</v>
      </c>
      <c r="AL11" s="121" t="s">
        <v>182</v>
      </c>
      <c r="AM11" s="121">
        <v>4.0000000000000002E-4</v>
      </c>
      <c r="AN11" s="121">
        <v>4.0000000000000002E-4</v>
      </c>
      <c r="AO11" s="121"/>
      <c r="AP11" s="121"/>
      <c r="AQ11" s="121"/>
      <c r="AR11" s="121" t="s">
        <v>144</v>
      </c>
      <c r="AS11" s="121">
        <v>0.5</v>
      </c>
    </row>
    <row r="12" spans="1:45" ht="13" x14ac:dyDescent="0.3">
      <c r="A12" s="32"/>
      <c r="B12" s="52" t="s">
        <v>173</v>
      </c>
      <c r="C12" s="4">
        <f>M43</f>
        <v>0</v>
      </c>
      <c r="D12" s="54">
        <v>1.25</v>
      </c>
      <c r="E12" s="4">
        <f t="shared" si="0"/>
        <v>0</v>
      </c>
      <c r="F12" s="4">
        <f>M44</f>
        <v>0</v>
      </c>
      <c r="G12" s="54">
        <v>1.25</v>
      </c>
      <c r="H12" s="4">
        <f>F12*G12</f>
        <v>0</v>
      </c>
      <c r="I12" s="16"/>
      <c r="J12" s="32"/>
      <c r="K12" s="185" t="str">
        <f>SUM(M11*AN12+(N11*AN12))&amp;" Amp"&amp;"    Required 24VDC Sounder Base Power"</f>
        <v>0 Amp    Required 24VDC Sounder Base Power</v>
      </c>
      <c r="L12" s="186"/>
      <c r="M12" s="8"/>
      <c r="N12" s="8"/>
      <c r="O12" s="19"/>
      <c r="P12" s="19"/>
      <c r="Q12" s="12"/>
      <c r="R12" s="32"/>
      <c r="S12" s="19"/>
      <c r="T12" s="44" t="s">
        <v>18</v>
      </c>
      <c r="U12" s="45">
        <f>SUM(23-(24*0.15))</f>
        <v>19.399999999999999</v>
      </c>
      <c r="V12" s="46">
        <f>SUM(F33)</f>
        <v>0</v>
      </c>
      <c r="W12" s="45">
        <v>16</v>
      </c>
      <c r="X12" s="45">
        <v>4.2</v>
      </c>
      <c r="Y12" s="51">
        <f>SUM(Y6)</f>
        <v>0</v>
      </c>
      <c r="Z12" s="39">
        <f>SUM(X12/1000)*(Y12)</f>
        <v>0</v>
      </c>
      <c r="AA12" s="39">
        <f>SUM(U12)-(Z12*V12)</f>
        <v>19.399999999999999</v>
      </c>
      <c r="AB12" s="12"/>
      <c r="AK12" s="121" t="s">
        <v>104</v>
      </c>
      <c r="AL12" s="121" t="s">
        <v>210</v>
      </c>
      <c r="AM12" s="121"/>
      <c r="AN12" s="121">
        <v>3.3000000000000002E-2</v>
      </c>
      <c r="AO12" s="121"/>
      <c r="AP12" s="121"/>
      <c r="AQ12" s="121"/>
      <c r="AR12" s="121" t="s">
        <v>145</v>
      </c>
      <c r="AS12" s="121">
        <v>0.58399999999999996</v>
      </c>
    </row>
    <row r="13" spans="1:45" ht="13" x14ac:dyDescent="0.3">
      <c r="A13" s="32"/>
      <c r="B13" s="52" t="s">
        <v>172</v>
      </c>
      <c r="C13" s="4">
        <f>N43</f>
        <v>0</v>
      </c>
      <c r="D13" s="54">
        <v>1.25</v>
      </c>
      <c r="E13" s="4">
        <f>C13*D13</f>
        <v>0</v>
      </c>
      <c r="F13" s="4">
        <f>N44</f>
        <v>0</v>
      </c>
      <c r="G13" s="54">
        <v>1.25</v>
      </c>
      <c r="H13" s="4">
        <f>F13*G13</f>
        <v>0</v>
      </c>
      <c r="I13" s="16"/>
      <c r="J13" s="32"/>
      <c r="K13" s="167" t="s">
        <v>21</v>
      </c>
      <c r="L13" s="149"/>
      <c r="M13" s="8"/>
      <c r="N13" s="8"/>
      <c r="O13" s="19"/>
      <c r="P13" s="19"/>
      <c r="Q13" s="12"/>
      <c r="R13" s="32"/>
      <c r="S13" s="19"/>
      <c r="T13" s="44" t="s">
        <v>19</v>
      </c>
      <c r="U13" s="45">
        <f>SUM(23-(24*0.15))</f>
        <v>19.399999999999999</v>
      </c>
      <c r="V13" s="4">
        <f>SUM(F34)</f>
        <v>0</v>
      </c>
      <c r="W13" s="45">
        <v>16</v>
      </c>
      <c r="X13" s="45">
        <v>4.2</v>
      </c>
      <c r="Y13" s="51">
        <f>SUM(Y7)</f>
        <v>0</v>
      </c>
      <c r="Z13" s="39">
        <f>SUM(X13/1000)*(Y13)</f>
        <v>0</v>
      </c>
      <c r="AA13" s="39">
        <f>SUM(U13)-(Z13*V13)</f>
        <v>19.399999999999999</v>
      </c>
      <c r="AB13" s="12"/>
      <c r="AK13" s="121"/>
      <c r="AL13" s="122" t="s">
        <v>21</v>
      </c>
      <c r="AM13" s="121"/>
      <c r="AN13" s="121"/>
      <c r="AO13" s="121"/>
      <c r="AP13" s="121"/>
      <c r="AQ13" s="121"/>
      <c r="AR13" s="121" t="s">
        <v>146</v>
      </c>
      <c r="AS13" s="121">
        <v>0.66700000000000004</v>
      </c>
    </row>
    <row r="14" spans="1:45" ht="13" x14ac:dyDescent="0.3">
      <c r="A14" s="32"/>
      <c r="B14" s="25" t="s">
        <v>171</v>
      </c>
      <c r="C14" s="4">
        <f>VLOOKUP(B14,AL43:AO45,2,FALSE)</f>
        <v>0</v>
      </c>
      <c r="D14" s="8">
        <f>VLOOKUP(B14,AL43:AO45,4,FALSE)</f>
        <v>0</v>
      </c>
      <c r="E14" s="4">
        <f>C14*D14</f>
        <v>0</v>
      </c>
      <c r="F14" s="4">
        <f>VLOOKUP(B14,AL43:AO45,3,FALSE)</f>
        <v>0</v>
      </c>
      <c r="G14" s="3">
        <f>D14</f>
        <v>0</v>
      </c>
      <c r="H14" s="4">
        <f>F14*G14</f>
        <v>0</v>
      </c>
      <c r="I14" s="16"/>
      <c r="J14" s="32"/>
      <c r="K14" s="39" t="s">
        <v>37</v>
      </c>
      <c r="L14" s="39" t="s">
        <v>38</v>
      </c>
      <c r="M14" s="1">
        <v>0</v>
      </c>
      <c r="N14" s="1">
        <v>0</v>
      </c>
      <c r="O14" s="19"/>
      <c r="P14" s="19"/>
      <c r="Q14" s="12"/>
      <c r="R14" s="32"/>
      <c r="S14" s="19"/>
      <c r="T14" s="48"/>
      <c r="U14" s="49"/>
      <c r="V14" s="19"/>
      <c r="W14" s="49"/>
      <c r="X14" s="49"/>
      <c r="Y14" s="50"/>
      <c r="Z14" s="19"/>
      <c r="AA14" s="19"/>
      <c r="AB14" s="12"/>
      <c r="AK14" s="121" t="s">
        <v>105</v>
      </c>
      <c r="AL14" s="121" t="s">
        <v>38</v>
      </c>
      <c r="AM14" s="121"/>
      <c r="AN14" s="121"/>
      <c r="AO14" s="121"/>
      <c r="AP14" s="121"/>
      <c r="AQ14" s="121"/>
      <c r="AR14" s="121" t="s">
        <v>147</v>
      </c>
      <c r="AS14" s="121">
        <v>0.75</v>
      </c>
    </row>
    <row r="15" spans="1:45" ht="13" x14ac:dyDescent="0.3">
      <c r="A15" s="32"/>
      <c r="B15" s="52" t="s">
        <v>130</v>
      </c>
      <c r="C15" s="4">
        <v>7.8E-2</v>
      </c>
      <c r="D15" s="2">
        <v>0</v>
      </c>
      <c r="E15" s="4">
        <f t="shared" si="0"/>
        <v>0</v>
      </c>
      <c r="F15" s="4">
        <v>0.14000000000000001</v>
      </c>
      <c r="G15" s="3">
        <f>D15</f>
        <v>0</v>
      </c>
      <c r="H15" s="4">
        <f t="shared" ref="H15:H23" si="1">F15*G15</f>
        <v>0</v>
      </c>
      <c r="I15" s="16"/>
      <c r="J15" s="32"/>
      <c r="K15" s="43" t="s">
        <v>212</v>
      </c>
      <c r="L15" s="43" t="s">
        <v>200</v>
      </c>
      <c r="M15" s="1">
        <v>0</v>
      </c>
      <c r="N15" s="1">
        <v>0</v>
      </c>
      <c r="O15" s="19"/>
      <c r="P15" s="19"/>
      <c r="Q15" s="12"/>
      <c r="R15" s="32"/>
      <c r="S15" s="19"/>
      <c r="T15" s="44" t="s">
        <v>18</v>
      </c>
      <c r="U15" s="45">
        <f>SUM(23-(24*0.15))</f>
        <v>19.399999999999999</v>
      </c>
      <c r="V15" s="46">
        <f>SUM(F33)</f>
        <v>0</v>
      </c>
      <c r="W15" s="45">
        <v>18</v>
      </c>
      <c r="X15" s="45">
        <v>6.5</v>
      </c>
      <c r="Y15" s="51">
        <f>SUM(Y6)</f>
        <v>0</v>
      </c>
      <c r="Z15" s="39">
        <f>SUM(X15/1000)*(Y15)</f>
        <v>0</v>
      </c>
      <c r="AA15" s="39">
        <f>SUM(U15)-(Z15*V15)</f>
        <v>19.399999999999999</v>
      </c>
      <c r="AB15" s="12"/>
      <c r="AK15" s="121" t="s">
        <v>106</v>
      </c>
      <c r="AL15" s="121" t="s">
        <v>124</v>
      </c>
      <c r="AM15" s="121"/>
      <c r="AN15" s="121">
        <v>5.0000000000000001E-3</v>
      </c>
      <c r="AO15" s="121"/>
      <c r="AP15" s="121"/>
      <c r="AQ15" s="121"/>
      <c r="AR15" s="121" t="s">
        <v>148</v>
      </c>
      <c r="AS15" s="121">
        <v>0.83399999999999996</v>
      </c>
    </row>
    <row r="16" spans="1:45" ht="13" x14ac:dyDescent="0.3">
      <c r="A16" s="32"/>
      <c r="B16" s="52" t="s">
        <v>131</v>
      </c>
      <c r="C16" s="4">
        <v>0.109</v>
      </c>
      <c r="D16" s="2">
        <v>0</v>
      </c>
      <c r="E16" s="4">
        <f t="shared" si="0"/>
        <v>0</v>
      </c>
      <c r="F16" s="4">
        <v>0.125</v>
      </c>
      <c r="G16" s="3">
        <f t="shared" ref="G16:G23" si="2">D16</f>
        <v>0</v>
      </c>
      <c r="H16" s="4">
        <f t="shared" si="1"/>
        <v>0</v>
      </c>
      <c r="I16" s="16"/>
      <c r="J16" s="32"/>
      <c r="K16" s="43" t="s">
        <v>198</v>
      </c>
      <c r="L16" s="58" t="s">
        <v>215</v>
      </c>
      <c r="M16" s="1">
        <v>0</v>
      </c>
      <c r="N16" s="1">
        <v>0</v>
      </c>
      <c r="O16" s="19"/>
      <c r="P16" s="19"/>
      <c r="Q16" s="12"/>
      <c r="R16" s="32"/>
      <c r="S16" s="19"/>
      <c r="T16" s="44" t="s">
        <v>19</v>
      </c>
      <c r="U16" s="45">
        <f>SUM(23-(24*0.15))</f>
        <v>19.399999999999999</v>
      </c>
      <c r="V16" s="4">
        <f>SUM(F34)</f>
        <v>0</v>
      </c>
      <c r="W16" s="45">
        <v>18</v>
      </c>
      <c r="X16" s="45">
        <v>6.5</v>
      </c>
      <c r="Y16" s="51">
        <f>SUM(Y7)</f>
        <v>0</v>
      </c>
      <c r="Z16" s="39">
        <f>SUM(X16/1000)*(Y16)</f>
        <v>0</v>
      </c>
      <c r="AA16" s="39">
        <f>SUM(U16)-(Z16*V16)</f>
        <v>19.399999999999999</v>
      </c>
      <c r="AB16" s="12"/>
      <c r="AK16" s="121"/>
      <c r="AL16" s="125" t="s">
        <v>199</v>
      </c>
      <c r="AM16" s="121">
        <v>1.4999999999999999E-4</v>
      </c>
      <c r="AN16" s="121"/>
      <c r="AO16" s="121"/>
      <c r="AP16" s="121"/>
      <c r="AQ16" s="121"/>
      <c r="AR16" s="121" t="s">
        <v>149</v>
      </c>
      <c r="AS16" s="121">
        <v>0.91700000000000004</v>
      </c>
    </row>
    <row r="17" spans="1:45" x14ac:dyDescent="0.25">
      <c r="A17" s="32"/>
      <c r="B17" s="52" t="s">
        <v>45</v>
      </c>
      <c r="C17" s="59"/>
      <c r="D17" s="59"/>
      <c r="E17" s="59"/>
      <c r="F17" s="4">
        <v>6.5000000000000002E-2</v>
      </c>
      <c r="G17" s="26">
        <v>0</v>
      </c>
      <c r="H17" s="4">
        <f t="shared" si="1"/>
        <v>0</v>
      </c>
      <c r="I17" s="16"/>
      <c r="J17" s="32"/>
      <c r="K17" s="185" t="str">
        <f>SUM(M16*AN17+(N16*AN17))&amp;" Amp"&amp;"    Required 24VDC Sounder Base Power"</f>
        <v>0 Amp    Required 24VDC Sounder Base Power</v>
      </c>
      <c r="L17" s="186"/>
      <c r="M17" s="8"/>
      <c r="N17" s="8"/>
      <c r="O17" s="19"/>
      <c r="P17" s="19"/>
      <c r="Q17" s="12"/>
      <c r="R17" s="32"/>
      <c r="S17" s="19"/>
      <c r="T17" s="19"/>
      <c r="U17" s="19"/>
      <c r="V17" s="19"/>
      <c r="W17" s="19"/>
      <c r="X17" s="19"/>
      <c r="Y17" s="19"/>
      <c r="Z17" s="19"/>
      <c r="AA17" s="19"/>
      <c r="AB17" s="12"/>
      <c r="AK17" s="121"/>
      <c r="AL17" s="121" t="s">
        <v>210</v>
      </c>
      <c r="AM17" s="121"/>
      <c r="AN17" s="121">
        <v>1.7000000000000001E-2</v>
      </c>
      <c r="AO17" s="121"/>
      <c r="AP17" s="121"/>
      <c r="AQ17" s="121"/>
      <c r="AR17" s="121" t="s">
        <v>150</v>
      </c>
      <c r="AS17" s="121">
        <v>1</v>
      </c>
    </row>
    <row r="18" spans="1:45" x14ac:dyDescent="0.25">
      <c r="A18" s="32"/>
      <c r="B18" s="52" t="s">
        <v>51</v>
      </c>
      <c r="C18" s="4">
        <v>1.0999999999999999E-2</v>
      </c>
      <c r="D18" s="2">
        <v>0</v>
      </c>
      <c r="E18" s="4">
        <f t="shared" ref="E18:E23" si="3">C18*D18</f>
        <v>0</v>
      </c>
      <c r="F18" s="4">
        <v>0.06</v>
      </c>
      <c r="G18" s="3">
        <f t="shared" si="2"/>
        <v>0</v>
      </c>
      <c r="H18" s="4">
        <f t="shared" si="1"/>
        <v>0</v>
      </c>
      <c r="I18" s="16"/>
      <c r="J18" s="32"/>
      <c r="K18" s="39" t="s">
        <v>35</v>
      </c>
      <c r="L18" s="39" t="s">
        <v>36</v>
      </c>
      <c r="M18" s="1">
        <v>0</v>
      </c>
      <c r="N18" s="1">
        <v>0</v>
      </c>
      <c r="O18" s="19"/>
      <c r="P18" s="19"/>
      <c r="Q18" s="12"/>
      <c r="R18" s="32"/>
      <c r="S18" s="19"/>
      <c r="T18" s="19" t="s">
        <v>224</v>
      </c>
      <c r="U18" s="19"/>
      <c r="V18" s="19"/>
      <c r="W18" s="19"/>
      <c r="X18" s="19"/>
      <c r="Y18" s="19"/>
      <c r="Z18" s="19"/>
      <c r="AA18" s="19"/>
      <c r="AB18" s="12"/>
      <c r="AJ18" s="20"/>
      <c r="AK18" s="121" t="s">
        <v>125</v>
      </c>
      <c r="AL18" s="121" t="s">
        <v>36</v>
      </c>
      <c r="AM18" s="121">
        <v>9.9999999999999995E-7</v>
      </c>
      <c r="AN18" s="121">
        <v>4.0000000000000003E-5</v>
      </c>
      <c r="AO18" s="121"/>
      <c r="AP18" s="121"/>
      <c r="AQ18" s="121"/>
      <c r="AR18" s="121"/>
      <c r="AS18" s="121"/>
    </row>
    <row r="19" spans="1:45" x14ac:dyDescent="0.25">
      <c r="A19" s="32"/>
      <c r="B19" s="52" t="s">
        <v>52</v>
      </c>
      <c r="C19" s="4">
        <v>1.0999999999999999E-2</v>
      </c>
      <c r="D19" s="2">
        <v>0</v>
      </c>
      <c r="E19" s="4">
        <f t="shared" si="3"/>
        <v>0</v>
      </c>
      <c r="F19" s="4">
        <v>0.06</v>
      </c>
      <c r="G19" s="3">
        <f t="shared" si="2"/>
        <v>0</v>
      </c>
      <c r="H19" s="4">
        <f t="shared" si="1"/>
        <v>0</v>
      </c>
      <c r="I19" s="16"/>
      <c r="J19" s="32"/>
      <c r="K19" s="39" t="s">
        <v>30</v>
      </c>
      <c r="L19" s="39" t="s">
        <v>85</v>
      </c>
      <c r="M19" s="1">
        <v>0</v>
      </c>
      <c r="N19" s="1">
        <v>0</v>
      </c>
      <c r="O19" s="19"/>
      <c r="P19" s="19"/>
      <c r="Q19" s="12"/>
      <c r="R19" s="32"/>
      <c r="S19" s="19"/>
      <c r="T19" s="19" t="s">
        <v>225</v>
      </c>
      <c r="U19" s="19"/>
      <c r="V19" s="19"/>
      <c r="W19" s="19"/>
      <c r="X19" s="19"/>
      <c r="Y19" s="19"/>
      <c r="Z19" s="19"/>
      <c r="AA19" s="19"/>
      <c r="AB19" s="12"/>
      <c r="AJ19" s="20"/>
      <c r="AK19" s="121" t="s">
        <v>126</v>
      </c>
      <c r="AL19" s="121" t="s">
        <v>85</v>
      </c>
      <c r="AM19" s="121">
        <v>3.4999999999999997E-5</v>
      </c>
      <c r="AN19" s="121">
        <v>3.4999999999999997E-5</v>
      </c>
      <c r="AO19" s="121"/>
      <c r="AP19" s="121"/>
      <c r="AQ19" s="121"/>
      <c r="AR19" s="121"/>
      <c r="AS19" s="121"/>
    </row>
    <row r="20" spans="1:45" x14ac:dyDescent="0.25">
      <c r="A20" s="32"/>
      <c r="B20" s="52" t="s">
        <v>72</v>
      </c>
      <c r="C20" s="59"/>
      <c r="D20" s="59"/>
      <c r="E20" s="59"/>
      <c r="F20" s="4">
        <v>0.13</v>
      </c>
      <c r="G20" s="27">
        <v>0</v>
      </c>
      <c r="H20" s="4">
        <f t="shared" si="1"/>
        <v>0</v>
      </c>
      <c r="I20" s="16"/>
      <c r="J20" s="32"/>
      <c r="K20" s="43" t="s">
        <v>81</v>
      </c>
      <c r="L20" s="43" t="s">
        <v>80</v>
      </c>
      <c r="M20" s="1">
        <v>0</v>
      </c>
      <c r="N20" s="1">
        <v>0</v>
      </c>
      <c r="O20" s="19"/>
      <c r="P20" s="19"/>
      <c r="Q20" s="12"/>
      <c r="R20" s="32"/>
      <c r="S20" s="19"/>
      <c r="T20" s="19"/>
      <c r="U20" s="19"/>
      <c r="V20" s="19"/>
      <c r="W20" s="19"/>
      <c r="X20" s="19"/>
      <c r="Y20" s="19"/>
      <c r="Z20" s="19"/>
      <c r="AA20" s="19"/>
      <c r="AB20" s="12"/>
      <c r="AJ20" s="20"/>
      <c r="AK20" s="121" t="s">
        <v>127</v>
      </c>
      <c r="AL20" s="121" t="s">
        <v>94</v>
      </c>
      <c r="AM20" s="121">
        <v>8.9999999999999998E-4</v>
      </c>
      <c r="AN20" s="121">
        <v>8.7500000000000008E-3</v>
      </c>
      <c r="AO20" s="121"/>
      <c r="AP20" s="121"/>
      <c r="AQ20" s="121"/>
      <c r="AR20" s="121" t="s">
        <v>236</v>
      </c>
      <c r="AS20" s="121">
        <v>48</v>
      </c>
    </row>
    <row r="21" spans="1:45" x14ac:dyDescent="0.25">
      <c r="A21" s="32"/>
      <c r="B21" s="52" t="s">
        <v>53</v>
      </c>
      <c r="C21" s="4">
        <v>2.1999999999999999E-2</v>
      </c>
      <c r="D21" s="2">
        <v>0</v>
      </c>
      <c r="E21" s="4">
        <f t="shared" si="3"/>
        <v>0</v>
      </c>
      <c r="F21" s="4">
        <v>0.1</v>
      </c>
      <c r="G21" s="3">
        <f t="shared" si="2"/>
        <v>0</v>
      </c>
      <c r="H21" s="4">
        <f t="shared" si="1"/>
        <v>0</v>
      </c>
      <c r="I21" s="16"/>
      <c r="J21" s="32"/>
      <c r="K21" s="43" t="s">
        <v>82</v>
      </c>
      <c r="L21" s="43" t="s">
        <v>83</v>
      </c>
      <c r="M21" s="1">
        <v>0</v>
      </c>
      <c r="N21" s="1">
        <v>0</v>
      </c>
      <c r="O21" s="19"/>
      <c r="P21" s="19"/>
      <c r="Q21" s="12"/>
      <c r="R21" s="32"/>
      <c r="S21" s="19"/>
      <c r="T21" s="19"/>
      <c r="U21" s="19"/>
      <c r="V21" s="19"/>
      <c r="W21" s="19"/>
      <c r="X21" s="19"/>
      <c r="Y21" s="19"/>
      <c r="Z21" s="19"/>
      <c r="AA21" s="19"/>
      <c r="AB21" s="12"/>
      <c r="AJ21" s="20"/>
      <c r="AK21" s="121" t="s">
        <v>107</v>
      </c>
      <c r="AL21" s="121" t="s">
        <v>95</v>
      </c>
      <c r="AM21" s="121">
        <v>1.2999999999999999E-3</v>
      </c>
      <c r="AN21" s="121">
        <v>1.048E-2</v>
      </c>
      <c r="AO21" s="121"/>
      <c r="AP21" s="121"/>
      <c r="AQ21" s="121"/>
      <c r="AR21" s="121"/>
      <c r="AS21" s="121"/>
    </row>
    <row r="22" spans="1:45" ht="13" x14ac:dyDescent="0.3">
      <c r="A22" s="32"/>
      <c r="B22" s="52" t="s">
        <v>133</v>
      </c>
      <c r="C22" s="4">
        <v>0</v>
      </c>
      <c r="D22" s="2">
        <v>0</v>
      </c>
      <c r="E22" s="4">
        <v>0</v>
      </c>
      <c r="F22" s="4">
        <v>0</v>
      </c>
      <c r="G22" s="3">
        <f t="shared" si="2"/>
        <v>0</v>
      </c>
      <c r="H22" s="4">
        <f t="shared" si="1"/>
        <v>0</v>
      </c>
      <c r="I22" s="16"/>
      <c r="J22" s="32"/>
      <c r="K22" s="148" t="s">
        <v>196</v>
      </c>
      <c r="L22" s="149"/>
      <c r="M22" s="1">
        <v>0</v>
      </c>
      <c r="N22" s="1">
        <v>0</v>
      </c>
      <c r="O22" s="19"/>
      <c r="P22" s="19"/>
      <c r="Q22" s="12"/>
      <c r="R22" s="32"/>
      <c r="S22" s="19"/>
      <c r="T22" s="19"/>
      <c r="U22" s="19"/>
      <c r="V22" s="19"/>
      <c r="W22" s="19"/>
      <c r="X22" s="19"/>
      <c r="Y22" s="19"/>
      <c r="Z22" s="19"/>
      <c r="AA22" s="19"/>
      <c r="AB22" s="12"/>
      <c r="AJ22" s="20"/>
      <c r="AK22" s="121" t="s">
        <v>128</v>
      </c>
      <c r="AL22" s="122" t="s">
        <v>196</v>
      </c>
      <c r="AM22" s="121"/>
      <c r="AN22" s="121"/>
      <c r="AO22" s="121"/>
      <c r="AP22" s="121"/>
      <c r="AQ22" s="121"/>
      <c r="AR22" s="121"/>
      <c r="AS22" s="121"/>
    </row>
    <row r="23" spans="1:45" x14ac:dyDescent="0.25">
      <c r="A23" s="32"/>
      <c r="B23" s="25" t="s">
        <v>137</v>
      </c>
      <c r="C23" s="4">
        <f>VLOOKUP(B23,AL54:AO56,2,FALSE)</f>
        <v>0</v>
      </c>
      <c r="D23" s="8">
        <f>VLOOKUP(B23,AL54:AO56,4,FALSE)</f>
        <v>0</v>
      </c>
      <c r="E23" s="4">
        <f t="shared" si="3"/>
        <v>0</v>
      </c>
      <c r="F23" s="4">
        <f>VLOOKUP(B23,AL54:AO56,3,FALSE)</f>
        <v>0</v>
      </c>
      <c r="G23" s="3">
        <f t="shared" si="2"/>
        <v>0</v>
      </c>
      <c r="H23" s="4">
        <f t="shared" si="1"/>
        <v>0</v>
      </c>
      <c r="I23" s="16"/>
      <c r="J23" s="32"/>
      <c r="K23" s="43" t="s">
        <v>213</v>
      </c>
      <c r="L23" s="39" t="s">
        <v>90</v>
      </c>
      <c r="M23" s="1">
        <v>0</v>
      </c>
      <c r="N23" s="1">
        <v>0</v>
      </c>
      <c r="O23" s="19"/>
      <c r="P23" s="19"/>
      <c r="Q23" s="12"/>
      <c r="R23" s="32"/>
      <c r="S23" s="19"/>
      <c r="T23" s="19"/>
      <c r="U23" s="19"/>
      <c r="V23" s="19"/>
      <c r="W23" s="19"/>
      <c r="X23" s="19"/>
      <c r="Y23" s="19"/>
      <c r="Z23" s="19"/>
      <c r="AA23" s="19"/>
      <c r="AB23" s="12"/>
      <c r="AJ23" s="20"/>
      <c r="AK23" s="121" t="s">
        <v>108</v>
      </c>
      <c r="AL23" s="121" t="s">
        <v>90</v>
      </c>
      <c r="AM23" s="121">
        <v>1.6999999999999999E-3</v>
      </c>
      <c r="AN23" s="121">
        <v>2.7000000000000001E-3</v>
      </c>
      <c r="AO23" s="121"/>
      <c r="AP23" s="121"/>
      <c r="AQ23" s="121"/>
      <c r="AR23" s="121"/>
      <c r="AS23" s="121"/>
    </row>
    <row r="24" spans="1:45" x14ac:dyDescent="0.25">
      <c r="A24" s="32"/>
      <c r="B24" s="52" t="s">
        <v>161</v>
      </c>
      <c r="C24" s="4">
        <v>0.12</v>
      </c>
      <c r="D24" s="2">
        <v>0</v>
      </c>
      <c r="E24" s="4">
        <f>C24*D24</f>
        <v>0</v>
      </c>
      <c r="F24" s="4">
        <v>0.3</v>
      </c>
      <c r="G24" s="3">
        <f>D24</f>
        <v>0</v>
      </c>
      <c r="H24" s="4">
        <f>F24*G24</f>
        <v>0</v>
      </c>
      <c r="I24" s="16"/>
      <c r="J24" s="32"/>
      <c r="K24" s="43" t="s">
        <v>185</v>
      </c>
      <c r="L24" s="43" t="s">
        <v>184</v>
      </c>
      <c r="M24" s="1">
        <v>0</v>
      </c>
      <c r="N24" s="1">
        <v>0</v>
      </c>
      <c r="O24" s="19"/>
      <c r="P24" s="19"/>
      <c r="Q24" s="12"/>
      <c r="R24" s="32"/>
      <c r="S24" s="19"/>
      <c r="T24" s="19"/>
      <c r="U24" s="19"/>
      <c r="V24" s="19"/>
      <c r="W24" s="19"/>
      <c r="X24" s="19"/>
      <c r="Y24" s="19"/>
      <c r="Z24" s="19"/>
      <c r="AA24" s="19"/>
      <c r="AB24" s="12"/>
      <c r="AJ24" s="20"/>
      <c r="AK24" s="121" t="s">
        <v>109</v>
      </c>
      <c r="AL24" s="121" t="s">
        <v>184</v>
      </c>
      <c r="AM24" s="121">
        <v>2.0000000000000001E-4</v>
      </c>
      <c r="AN24" s="121">
        <v>3.8E-3</v>
      </c>
      <c r="AO24" s="121"/>
      <c r="AP24" s="121"/>
      <c r="AQ24" s="121"/>
      <c r="AR24" s="121"/>
      <c r="AS24" s="121"/>
    </row>
    <row r="25" spans="1:45" ht="13" x14ac:dyDescent="0.3">
      <c r="A25" s="32"/>
      <c r="B25" s="129"/>
      <c r="C25" s="130"/>
      <c r="D25" s="132"/>
      <c r="E25" s="130"/>
      <c r="F25" s="130"/>
      <c r="G25" s="133"/>
      <c r="H25" s="130"/>
      <c r="I25" s="16"/>
      <c r="J25" s="32"/>
      <c r="K25" s="148" t="s">
        <v>27</v>
      </c>
      <c r="L25" s="149"/>
      <c r="M25" s="8"/>
      <c r="N25" s="8"/>
      <c r="O25" s="19"/>
      <c r="P25" s="19"/>
      <c r="Q25" s="12"/>
      <c r="R25" s="32"/>
      <c r="S25" s="19"/>
      <c r="T25" s="19"/>
      <c r="U25" s="19"/>
      <c r="V25" s="19"/>
      <c r="W25" s="19"/>
      <c r="X25" s="19"/>
      <c r="Y25" s="19"/>
      <c r="Z25" s="19"/>
      <c r="AA25" s="19"/>
      <c r="AB25" s="12"/>
      <c r="AJ25" s="20"/>
      <c r="AK25" s="121" t="s">
        <v>110</v>
      </c>
      <c r="AL25" s="122" t="s">
        <v>27</v>
      </c>
      <c r="AM25" s="121"/>
      <c r="AN25" s="121"/>
      <c r="AO25" s="121"/>
      <c r="AP25" s="121"/>
      <c r="AQ25" s="121"/>
      <c r="AR25" s="121"/>
      <c r="AS25" s="121"/>
    </row>
    <row r="26" spans="1:45" x14ac:dyDescent="0.25">
      <c r="A26" s="32"/>
      <c r="B26" s="129"/>
      <c r="C26" s="130"/>
      <c r="D26" s="132"/>
      <c r="E26" s="130"/>
      <c r="F26" s="130"/>
      <c r="G26" s="133"/>
      <c r="H26" s="130"/>
      <c r="I26" s="16"/>
      <c r="J26" s="32"/>
      <c r="K26" s="39" t="s">
        <v>201</v>
      </c>
      <c r="L26" s="39" t="s">
        <v>202</v>
      </c>
      <c r="M26" s="1">
        <v>0</v>
      </c>
      <c r="N26" s="1">
        <v>0</v>
      </c>
      <c r="O26" s="19"/>
      <c r="P26" s="19"/>
      <c r="Q26" s="12"/>
      <c r="R26" s="32"/>
      <c r="S26" s="19"/>
      <c r="T26" s="19"/>
      <c r="U26" s="19"/>
      <c r="V26" s="19"/>
      <c r="W26" s="19"/>
      <c r="X26" s="19"/>
      <c r="Y26" s="19"/>
      <c r="Z26" s="19"/>
      <c r="AA26" s="19"/>
      <c r="AB26" s="12"/>
      <c r="AK26" s="121"/>
      <c r="AL26" s="121" t="s">
        <v>202</v>
      </c>
      <c r="AM26" s="121">
        <v>5.9999999999999995E-4</v>
      </c>
      <c r="AN26" s="121">
        <v>5.9999999999999995E-4</v>
      </c>
      <c r="AO26" s="121"/>
      <c r="AP26" s="121"/>
      <c r="AQ26" s="121"/>
      <c r="AR26" s="121"/>
      <c r="AS26" s="121"/>
    </row>
    <row r="27" spans="1:45" x14ac:dyDescent="0.25">
      <c r="A27" s="32"/>
      <c r="B27" s="129"/>
      <c r="C27" s="130"/>
      <c r="D27" s="132"/>
      <c r="E27" s="130"/>
      <c r="F27" s="130"/>
      <c r="G27" s="133"/>
      <c r="H27" s="130"/>
      <c r="I27" s="16"/>
      <c r="J27" s="32"/>
      <c r="K27" s="39" t="s">
        <v>33</v>
      </c>
      <c r="L27" s="39" t="s">
        <v>205</v>
      </c>
      <c r="M27" s="1">
        <v>0</v>
      </c>
      <c r="N27" s="1">
        <v>0</v>
      </c>
      <c r="O27" s="19"/>
      <c r="P27" s="19"/>
      <c r="Q27" s="12"/>
      <c r="R27" s="32"/>
      <c r="S27" s="19"/>
      <c r="T27" s="19"/>
      <c r="U27" s="19"/>
      <c r="V27" s="19"/>
      <c r="W27" s="19"/>
      <c r="X27" s="19"/>
      <c r="Y27" s="19"/>
      <c r="Z27" s="19"/>
      <c r="AA27" s="19"/>
      <c r="AB27" s="12"/>
      <c r="AJ27" s="20"/>
      <c r="AK27" s="121" t="s">
        <v>111</v>
      </c>
      <c r="AL27" s="121" t="s">
        <v>205</v>
      </c>
      <c r="AM27" s="121">
        <v>5.9999999999999995E-4</v>
      </c>
      <c r="AN27" s="121">
        <v>5.0000000000000001E-3</v>
      </c>
      <c r="AO27" s="121"/>
      <c r="AP27" s="121"/>
      <c r="AQ27" s="121"/>
      <c r="AR27" s="121"/>
      <c r="AS27" s="121"/>
    </row>
    <row r="28" spans="1:45" x14ac:dyDescent="0.25">
      <c r="A28" s="32"/>
      <c r="B28" s="129"/>
      <c r="C28" s="130"/>
      <c r="D28" s="131"/>
      <c r="E28" s="130"/>
      <c r="F28" s="130"/>
      <c r="G28" s="131"/>
      <c r="H28" s="130"/>
      <c r="I28" s="16"/>
      <c r="J28" s="32"/>
      <c r="K28" s="43" t="s">
        <v>57</v>
      </c>
      <c r="L28" s="43" t="s">
        <v>88</v>
      </c>
      <c r="M28" s="1">
        <v>0</v>
      </c>
      <c r="N28" s="1">
        <v>0</v>
      </c>
      <c r="O28" s="19"/>
      <c r="P28" s="19"/>
      <c r="Q28" s="12"/>
      <c r="R28" s="32"/>
      <c r="S28" s="19"/>
      <c r="T28" s="19"/>
      <c r="U28" s="19"/>
      <c r="V28" s="19"/>
      <c r="W28" s="19"/>
      <c r="X28" s="19"/>
      <c r="Y28" s="19"/>
      <c r="Z28" s="19"/>
      <c r="AA28" s="19"/>
      <c r="AB28" s="12"/>
      <c r="AJ28" s="20"/>
      <c r="AK28" s="121" t="s">
        <v>129</v>
      </c>
      <c r="AL28" s="121" t="s">
        <v>88</v>
      </c>
      <c r="AM28" s="121">
        <v>2.0000000000000001E-4</v>
      </c>
      <c r="AN28" s="121">
        <v>3.5999999999999999E-3</v>
      </c>
      <c r="AO28" s="121"/>
      <c r="AP28" s="121"/>
      <c r="AQ28" s="121"/>
      <c r="AR28" s="121"/>
      <c r="AS28" s="121"/>
    </row>
    <row r="29" spans="1:45" x14ac:dyDescent="0.25">
      <c r="A29" s="32"/>
      <c r="B29" s="52" t="s">
        <v>46</v>
      </c>
      <c r="C29" s="5">
        <v>0</v>
      </c>
      <c r="D29" s="8"/>
      <c r="E29" s="4">
        <f>C29</f>
        <v>0</v>
      </c>
      <c r="F29" s="5">
        <v>0</v>
      </c>
      <c r="G29" s="8"/>
      <c r="H29" s="4">
        <f>F29</f>
        <v>0</v>
      </c>
      <c r="I29" s="16"/>
      <c r="J29" s="32"/>
      <c r="K29" s="39" t="s">
        <v>31</v>
      </c>
      <c r="L29" s="39" t="s">
        <v>86</v>
      </c>
      <c r="M29" s="1">
        <v>0</v>
      </c>
      <c r="N29" s="1">
        <v>0</v>
      </c>
      <c r="O29" s="19"/>
      <c r="P29" s="19"/>
      <c r="Q29" s="12"/>
      <c r="R29" s="32"/>
      <c r="S29" s="19"/>
      <c r="T29" s="19"/>
      <c r="U29" s="19"/>
      <c r="V29" s="19"/>
      <c r="W29" s="19"/>
      <c r="X29" s="19"/>
      <c r="Y29" s="19"/>
      <c r="Z29" s="19"/>
      <c r="AA29" s="19"/>
      <c r="AB29" s="12"/>
      <c r="AK29" s="121" t="s">
        <v>112</v>
      </c>
      <c r="AL29" s="121" t="s">
        <v>86</v>
      </c>
      <c r="AM29" s="121">
        <v>8.4999999999999995E-4</v>
      </c>
      <c r="AN29" s="121">
        <v>8.4999999999999995E-4</v>
      </c>
      <c r="AO29" s="121"/>
      <c r="AP29" s="121"/>
      <c r="AQ29" s="121"/>
      <c r="AR29" s="121"/>
      <c r="AS29" s="121"/>
    </row>
    <row r="30" spans="1:45" x14ac:dyDescent="0.25">
      <c r="A30" s="32"/>
      <c r="B30" s="52" t="s">
        <v>159</v>
      </c>
      <c r="C30" s="62">
        <f>IF(AM41&lt;=0.5,AM41,"Exceeds Current")</f>
        <v>0</v>
      </c>
      <c r="D30" s="8"/>
      <c r="E30" s="4"/>
      <c r="F30" s="4"/>
      <c r="G30" s="8"/>
      <c r="H30" s="4"/>
      <c r="I30" s="16"/>
      <c r="J30" s="32"/>
      <c r="K30" s="39" t="s">
        <v>34</v>
      </c>
      <c r="L30" s="39" t="s">
        <v>89</v>
      </c>
      <c r="M30" s="1">
        <v>0</v>
      </c>
      <c r="N30" s="1">
        <v>0</v>
      </c>
      <c r="O30" s="19"/>
      <c r="P30" s="19"/>
      <c r="Q30" s="12"/>
      <c r="R30" s="32"/>
      <c r="S30" s="19"/>
      <c r="T30" s="19"/>
      <c r="U30" s="19"/>
      <c r="V30" s="19"/>
      <c r="W30" s="19"/>
      <c r="X30" s="19"/>
      <c r="Y30" s="19"/>
      <c r="Z30" s="19"/>
      <c r="AA30" s="19"/>
      <c r="AB30" s="12"/>
      <c r="AK30" s="121" t="s">
        <v>113</v>
      </c>
      <c r="AL30" s="121" t="s">
        <v>89</v>
      </c>
      <c r="AM30" s="121">
        <v>8.4999999999999995E-4</v>
      </c>
      <c r="AN30" s="121">
        <v>3.5000000000000001E-3</v>
      </c>
      <c r="AO30" s="121"/>
      <c r="AP30" s="121"/>
      <c r="AQ30" s="121"/>
      <c r="AR30" s="121"/>
      <c r="AS30" s="121"/>
    </row>
    <row r="31" spans="1:45" x14ac:dyDescent="0.25">
      <c r="A31" s="32"/>
      <c r="B31" s="52" t="s">
        <v>160</v>
      </c>
      <c r="C31" s="5">
        <v>0</v>
      </c>
      <c r="D31" s="8"/>
      <c r="E31" s="4">
        <f>C31</f>
        <v>0</v>
      </c>
      <c r="F31" s="5">
        <v>0</v>
      </c>
      <c r="G31" s="8"/>
      <c r="H31" s="4">
        <f>F31</f>
        <v>0</v>
      </c>
      <c r="I31" s="16"/>
      <c r="J31" s="32"/>
      <c r="K31" s="39" t="s">
        <v>203</v>
      </c>
      <c r="L31" s="43" t="s">
        <v>222</v>
      </c>
      <c r="M31" s="1">
        <v>0</v>
      </c>
      <c r="N31" s="1">
        <v>0</v>
      </c>
      <c r="O31" s="19"/>
      <c r="P31" s="19"/>
      <c r="Q31" s="12"/>
      <c r="R31" s="32"/>
      <c r="S31" s="19"/>
      <c r="T31" s="19"/>
      <c r="U31" s="19"/>
      <c r="V31" s="19"/>
      <c r="W31" s="19"/>
      <c r="X31" s="19"/>
      <c r="Y31" s="19"/>
      <c r="Z31" s="19"/>
      <c r="AA31" s="19"/>
      <c r="AB31" s="12"/>
      <c r="AK31" s="121" t="s">
        <v>114</v>
      </c>
      <c r="AL31" s="121" t="s">
        <v>204</v>
      </c>
      <c r="AM31" s="121">
        <v>9.5E-4</v>
      </c>
      <c r="AN31" s="121">
        <v>3.0000000000000001E-3</v>
      </c>
      <c r="AO31" s="121"/>
      <c r="AP31" s="121"/>
      <c r="AQ31" s="121"/>
      <c r="AR31" s="121"/>
      <c r="AS31" s="121"/>
    </row>
    <row r="32" spans="1:45" x14ac:dyDescent="0.25">
      <c r="A32" s="32"/>
      <c r="B32" s="129"/>
      <c r="C32" s="134"/>
      <c r="D32" s="134"/>
      <c r="E32" s="134"/>
      <c r="F32" s="135"/>
      <c r="G32" s="136"/>
      <c r="H32" s="135"/>
      <c r="I32" s="16"/>
      <c r="J32" s="32"/>
      <c r="K32" s="39" t="s">
        <v>32</v>
      </c>
      <c r="L32" s="39" t="s">
        <v>87</v>
      </c>
      <c r="M32" s="1">
        <v>0</v>
      </c>
      <c r="N32" s="1">
        <v>0</v>
      </c>
      <c r="O32" s="19"/>
      <c r="P32" s="19"/>
      <c r="Q32" s="12"/>
      <c r="R32" s="32"/>
      <c r="S32" s="19"/>
      <c r="T32" s="19"/>
      <c r="U32" s="19"/>
      <c r="V32" s="19"/>
      <c r="W32" s="19"/>
      <c r="X32" s="19"/>
      <c r="Y32" s="19"/>
      <c r="Z32" s="19"/>
      <c r="AA32" s="19"/>
      <c r="AB32" s="12"/>
      <c r="AK32" s="121" t="s">
        <v>115</v>
      </c>
      <c r="AL32" s="121" t="s">
        <v>87</v>
      </c>
      <c r="AM32" s="121">
        <v>1E-3</v>
      </c>
      <c r="AN32" s="121">
        <v>1E-3</v>
      </c>
      <c r="AO32" s="121"/>
      <c r="AP32" s="121"/>
      <c r="AQ32" s="121"/>
      <c r="AR32" s="121"/>
      <c r="AS32" s="121"/>
    </row>
    <row r="33" spans="1:45" ht="13" x14ac:dyDescent="0.3">
      <c r="A33" s="32"/>
      <c r="B33" s="52" t="s">
        <v>18</v>
      </c>
      <c r="C33" s="59"/>
      <c r="D33" s="59"/>
      <c r="E33" s="59"/>
      <c r="F33" s="5">
        <v>0</v>
      </c>
      <c r="G33" s="8"/>
      <c r="H33" s="4">
        <f>F33</f>
        <v>0</v>
      </c>
      <c r="I33" s="16"/>
      <c r="J33" s="32"/>
      <c r="K33" s="148" t="s">
        <v>211</v>
      </c>
      <c r="L33" s="149"/>
      <c r="M33" s="8"/>
      <c r="N33" s="8"/>
      <c r="O33" s="19"/>
      <c r="P33" s="19"/>
      <c r="Q33" s="12"/>
      <c r="R33" s="32"/>
      <c r="S33" s="19"/>
      <c r="T33" s="19"/>
      <c r="U33" s="19"/>
      <c r="V33" s="19"/>
      <c r="W33" s="19"/>
      <c r="X33" s="19"/>
      <c r="Y33" s="19"/>
      <c r="Z33" s="19"/>
      <c r="AA33" s="19"/>
      <c r="AB33" s="12"/>
      <c r="AK33" s="121" t="s">
        <v>116</v>
      </c>
      <c r="AL33" s="126" t="s">
        <v>211</v>
      </c>
      <c r="AM33" s="121"/>
      <c r="AN33" s="121"/>
      <c r="AO33" s="121"/>
      <c r="AP33" s="121"/>
      <c r="AQ33" s="121"/>
      <c r="AR33" s="121"/>
      <c r="AS33" s="121"/>
    </row>
    <row r="34" spans="1:45" x14ac:dyDescent="0.25">
      <c r="A34" s="32"/>
      <c r="B34" s="52" t="s">
        <v>19</v>
      </c>
      <c r="C34" s="59"/>
      <c r="D34" s="59"/>
      <c r="E34" s="59"/>
      <c r="F34" s="5">
        <v>0</v>
      </c>
      <c r="G34" s="8"/>
      <c r="H34" s="4">
        <f>F34</f>
        <v>0</v>
      </c>
      <c r="I34" s="16"/>
      <c r="J34" s="32"/>
      <c r="K34" s="43" t="s">
        <v>55</v>
      </c>
      <c r="L34" s="43" t="s">
        <v>73</v>
      </c>
      <c r="M34" s="6">
        <v>0</v>
      </c>
      <c r="N34" s="6">
        <v>0</v>
      </c>
      <c r="O34" s="19"/>
      <c r="P34" s="19"/>
      <c r="Q34" s="12"/>
      <c r="R34" s="32"/>
      <c r="S34" s="19"/>
      <c r="T34" s="19"/>
      <c r="U34" s="19"/>
      <c r="V34" s="19"/>
      <c r="W34" s="19"/>
      <c r="X34" s="19"/>
      <c r="Y34" s="19"/>
      <c r="Z34" s="19"/>
      <c r="AA34" s="19"/>
      <c r="AB34" s="12"/>
      <c r="AK34" s="121" t="s">
        <v>117</v>
      </c>
      <c r="AL34" s="121" t="s">
        <v>92</v>
      </c>
      <c r="AM34" s="121">
        <v>3.1E-4</v>
      </c>
      <c r="AN34" s="121">
        <v>6.0000000000000001E-3</v>
      </c>
      <c r="AO34" s="121"/>
      <c r="AP34" s="121"/>
      <c r="AQ34" s="121"/>
      <c r="AR34" s="121"/>
      <c r="AS34" s="121"/>
    </row>
    <row r="35" spans="1:45" x14ac:dyDescent="0.25">
      <c r="A35" s="32"/>
      <c r="B35" s="129"/>
      <c r="C35" s="137"/>
      <c r="D35" s="137"/>
      <c r="E35" s="137"/>
      <c r="F35" s="130"/>
      <c r="G35" s="138"/>
      <c r="H35" s="130"/>
      <c r="I35" s="16"/>
      <c r="J35" s="32"/>
      <c r="K35" s="43" t="s">
        <v>56</v>
      </c>
      <c r="L35" s="43" t="s">
        <v>74</v>
      </c>
      <c r="M35" s="1">
        <v>0</v>
      </c>
      <c r="N35" s="1">
        <v>0</v>
      </c>
      <c r="O35" s="19"/>
      <c r="P35" s="19"/>
      <c r="Q35" s="12"/>
      <c r="R35" s="32"/>
      <c r="S35" s="19"/>
      <c r="T35" s="19"/>
      <c r="U35" s="19"/>
      <c r="V35" s="19"/>
      <c r="W35" s="19"/>
      <c r="X35" s="19"/>
      <c r="Y35" s="19"/>
      <c r="Z35" s="19"/>
      <c r="AA35" s="19"/>
      <c r="AB35" s="12"/>
      <c r="AK35" s="121" t="s">
        <v>118</v>
      </c>
      <c r="AL35" s="121" t="s">
        <v>93</v>
      </c>
      <c r="AM35" s="121">
        <v>7.5000000000000002E-4</v>
      </c>
      <c r="AN35" s="121">
        <v>8.3999999999999995E-3</v>
      </c>
      <c r="AO35" s="121"/>
      <c r="AP35" s="121"/>
      <c r="AQ35" s="121"/>
      <c r="AR35" s="121"/>
      <c r="AS35" s="121"/>
    </row>
    <row r="36" spans="1:45" x14ac:dyDescent="0.25">
      <c r="A36" s="32"/>
      <c r="B36" s="129"/>
      <c r="C36" s="137"/>
      <c r="D36" s="137"/>
      <c r="E36" s="137"/>
      <c r="F36" s="130"/>
      <c r="G36" s="138"/>
      <c r="H36" s="130"/>
      <c r="I36" s="16"/>
      <c r="J36" s="32"/>
      <c r="K36" s="43" t="s">
        <v>54</v>
      </c>
      <c r="L36" s="43" t="s">
        <v>79</v>
      </c>
      <c r="M36" s="1">
        <v>0</v>
      </c>
      <c r="N36" s="1">
        <v>0</v>
      </c>
      <c r="O36" s="19"/>
      <c r="P36" s="19"/>
      <c r="Q36" s="12"/>
      <c r="R36" s="32"/>
      <c r="S36" s="19"/>
      <c r="T36" s="19"/>
      <c r="U36" s="19"/>
      <c r="V36" s="19"/>
      <c r="W36" s="19"/>
      <c r="X36" s="19"/>
      <c r="Y36" s="19"/>
      <c r="Z36" s="19"/>
      <c r="AA36" s="19"/>
      <c r="AB36" s="12"/>
      <c r="AK36" s="121" t="s">
        <v>119</v>
      </c>
      <c r="AL36" s="121" t="s">
        <v>91</v>
      </c>
      <c r="AM36" s="121">
        <v>1.4999999999999999E-4</v>
      </c>
      <c r="AN36" s="121">
        <v>3.0000000000000001E-3</v>
      </c>
      <c r="AO36" s="121"/>
      <c r="AP36" s="121"/>
      <c r="AQ36" s="121"/>
      <c r="AR36" s="121"/>
      <c r="AS36" s="121"/>
    </row>
    <row r="37" spans="1:45" ht="13" x14ac:dyDescent="0.3">
      <c r="A37" s="32"/>
      <c r="B37" s="68" t="s">
        <v>8</v>
      </c>
      <c r="C37" s="177" t="s">
        <v>153</v>
      </c>
      <c r="D37" s="178"/>
      <c r="E37" s="69">
        <f>SUM(E10:E36)</f>
        <v>0.11</v>
      </c>
      <c r="F37" s="148" t="s">
        <v>152</v>
      </c>
      <c r="G37" s="149"/>
      <c r="H37" s="70">
        <f>SUM(H10:H36)</f>
        <v>0.19500000000000001</v>
      </c>
      <c r="I37" s="16"/>
      <c r="J37" s="32"/>
      <c r="K37" s="148" t="s">
        <v>206</v>
      </c>
      <c r="L37" s="149"/>
      <c r="M37" s="8"/>
      <c r="N37" s="8"/>
      <c r="O37" s="19"/>
      <c r="P37" s="19"/>
      <c r="Q37" s="12"/>
      <c r="R37" s="32"/>
      <c r="S37" s="19"/>
      <c r="T37" s="19"/>
      <c r="U37" s="19"/>
      <c r="V37" s="19"/>
      <c r="W37" s="19"/>
      <c r="X37" s="19"/>
      <c r="Y37" s="19"/>
      <c r="Z37" s="19"/>
      <c r="AA37" s="19"/>
      <c r="AB37" s="12"/>
      <c r="AK37" s="121" t="s">
        <v>120</v>
      </c>
      <c r="AL37" s="122" t="s">
        <v>206</v>
      </c>
      <c r="AM37" s="121"/>
      <c r="AN37" s="121"/>
      <c r="AO37" s="121"/>
      <c r="AP37" s="121"/>
      <c r="AQ37" s="121"/>
      <c r="AR37" s="121"/>
      <c r="AS37" s="121"/>
    </row>
    <row r="38" spans="1:45" x14ac:dyDescent="0.25">
      <c r="A38" s="32"/>
      <c r="B38" s="52" t="s">
        <v>11</v>
      </c>
      <c r="C38" s="9">
        <v>24</v>
      </c>
      <c r="D38" s="71" t="s">
        <v>12</v>
      </c>
      <c r="E38" s="72">
        <f>E37*C38</f>
        <v>2.64</v>
      </c>
      <c r="F38" s="28" t="s">
        <v>139</v>
      </c>
      <c r="G38" s="73">
        <f>VLOOKUP(F38,AR6:AS17,2,FALSE)</f>
        <v>8.3000000000000004E-2</v>
      </c>
      <c r="H38" s="74">
        <f>H37*G38</f>
        <v>1.6185000000000001E-2</v>
      </c>
      <c r="I38" s="17"/>
      <c r="J38" s="32"/>
      <c r="K38" s="39" t="s">
        <v>28</v>
      </c>
      <c r="L38" s="39" t="s">
        <v>84</v>
      </c>
      <c r="M38" s="1">
        <v>0</v>
      </c>
      <c r="N38" s="1">
        <v>0</v>
      </c>
      <c r="O38" s="19"/>
      <c r="P38" s="19"/>
      <c r="Q38" s="12"/>
      <c r="R38" s="32"/>
      <c r="S38" s="19"/>
      <c r="T38" s="19"/>
      <c r="U38" s="19"/>
      <c r="V38" s="19"/>
      <c r="W38" s="19"/>
      <c r="X38" s="19"/>
      <c r="Y38" s="19"/>
      <c r="Z38" s="19"/>
      <c r="AA38" s="19"/>
      <c r="AB38" s="12"/>
      <c r="AK38" s="121" t="s">
        <v>121</v>
      </c>
      <c r="AL38" s="121" t="s">
        <v>84</v>
      </c>
      <c r="AM38" s="121">
        <v>3.4999999999999997E-5</v>
      </c>
      <c r="AN38" s="121">
        <v>3.4999999999999997E-5</v>
      </c>
      <c r="AO38" s="121"/>
      <c r="AP38" s="121"/>
      <c r="AQ38" s="121"/>
      <c r="AR38" s="121"/>
      <c r="AS38" s="121"/>
    </row>
    <row r="39" spans="1:45" x14ac:dyDescent="0.25">
      <c r="A39" s="32"/>
      <c r="B39" s="19"/>
      <c r="C39" s="159" t="s">
        <v>151</v>
      </c>
      <c r="D39" s="179"/>
      <c r="E39" s="179"/>
      <c r="F39" s="179"/>
      <c r="G39" s="180"/>
      <c r="H39" s="76">
        <f>E38</f>
        <v>2.64</v>
      </c>
      <c r="I39" s="17"/>
      <c r="J39" s="32"/>
      <c r="K39" s="39" t="s">
        <v>26</v>
      </c>
      <c r="L39" s="39" t="s">
        <v>29</v>
      </c>
      <c r="M39" s="1">
        <v>0</v>
      </c>
      <c r="N39" s="1">
        <v>0</v>
      </c>
      <c r="O39" s="19"/>
      <c r="P39" s="19"/>
      <c r="Q39" s="12"/>
      <c r="R39" s="32"/>
      <c r="S39" s="19"/>
      <c r="T39" s="19"/>
      <c r="U39" s="19"/>
      <c r="V39" s="19"/>
      <c r="W39" s="19"/>
      <c r="X39" s="19"/>
      <c r="Y39" s="19"/>
      <c r="Z39" s="19"/>
      <c r="AA39" s="19"/>
      <c r="AB39" s="12"/>
      <c r="AK39" s="121" t="s">
        <v>122</v>
      </c>
      <c r="AL39" s="121" t="s">
        <v>29</v>
      </c>
      <c r="AM39" s="121"/>
      <c r="AN39" s="121"/>
      <c r="AO39" s="121"/>
      <c r="AP39" s="121"/>
      <c r="AQ39" s="121"/>
      <c r="AR39" s="121"/>
      <c r="AS39" s="121"/>
    </row>
    <row r="40" spans="1:45" ht="13" thickBot="1" x14ac:dyDescent="0.3">
      <c r="A40" s="32"/>
      <c r="B40" s="19"/>
      <c r="C40" s="181" t="s">
        <v>14</v>
      </c>
      <c r="D40" s="160"/>
      <c r="E40" s="160"/>
      <c r="F40" s="160"/>
      <c r="G40" s="182"/>
      <c r="H40" s="78">
        <f>SUM(H38:H39)</f>
        <v>2.6561850000000002</v>
      </c>
      <c r="I40" s="17"/>
      <c r="J40" s="32"/>
      <c r="K40" s="43"/>
      <c r="L40" s="43"/>
      <c r="M40" s="79"/>
      <c r="N40" s="79"/>
      <c r="O40" s="19"/>
      <c r="P40" s="19"/>
      <c r="Q40" s="12"/>
      <c r="R40" s="32"/>
      <c r="S40" s="19"/>
      <c r="T40" s="19"/>
      <c r="U40" s="19"/>
      <c r="V40" s="19"/>
      <c r="W40" s="19"/>
      <c r="X40" s="19"/>
      <c r="Y40" s="80" t="s">
        <v>44</v>
      </c>
      <c r="Z40" s="19"/>
      <c r="AA40" s="19"/>
      <c r="AB40" s="12"/>
      <c r="AJ40" s="20"/>
      <c r="AK40" s="121" t="s">
        <v>183</v>
      </c>
      <c r="AL40" s="121"/>
      <c r="AM40" s="121"/>
      <c r="AN40" s="121"/>
      <c r="AO40" s="121"/>
      <c r="AP40" s="121"/>
      <c r="AQ40" s="121"/>
      <c r="AR40" s="121"/>
      <c r="AS40" s="121"/>
    </row>
    <row r="41" spans="1:45" ht="14" thickTop="1" thickBot="1" x14ac:dyDescent="0.35">
      <c r="A41" s="32"/>
      <c r="B41" s="49" t="str">
        <f>IF(H41&gt;48,"Exceeds AX-CTL Charger","")</f>
        <v/>
      </c>
      <c r="C41" s="159" t="s">
        <v>223</v>
      </c>
      <c r="D41" s="160"/>
      <c r="E41" s="160"/>
      <c r="F41" s="160"/>
      <c r="G41" s="160"/>
      <c r="H41" s="81">
        <f>H40*1.25</f>
        <v>3.3202312500000004</v>
      </c>
      <c r="I41" s="14" t="s">
        <v>15</v>
      </c>
      <c r="J41" s="32"/>
      <c r="K41" s="39"/>
      <c r="L41" s="39"/>
      <c r="M41" s="8"/>
      <c r="N41" s="8"/>
      <c r="O41" s="19"/>
      <c r="P41" s="19"/>
      <c r="Q41" s="12"/>
      <c r="R41" s="32"/>
      <c r="S41" s="19"/>
      <c r="T41" s="19"/>
      <c r="U41" s="19"/>
      <c r="V41" s="19"/>
      <c r="W41" s="19"/>
      <c r="X41" s="19"/>
      <c r="Y41" s="19"/>
      <c r="Z41" s="19"/>
      <c r="AA41" s="19"/>
      <c r="AB41" s="12"/>
      <c r="AK41" s="121"/>
      <c r="AL41" s="121" t="s">
        <v>158</v>
      </c>
      <c r="AM41" s="127">
        <f>SUM(H15,H17,H18,H19,H20,H21,H23,H24,C31)</f>
        <v>0</v>
      </c>
      <c r="AN41" s="121"/>
      <c r="AO41" s="121"/>
      <c r="AP41" s="121"/>
      <c r="AQ41" s="121"/>
      <c r="AR41" s="121"/>
      <c r="AS41" s="121"/>
    </row>
    <row r="42" spans="1:45" ht="9.75" customHeight="1" thickTop="1" x14ac:dyDescent="0.25">
      <c r="A42" s="32"/>
      <c r="B42" s="82"/>
      <c r="C42" s="19"/>
      <c r="D42" s="19"/>
      <c r="E42" s="19"/>
      <c r="F42" s="19"/>
      <c r="G42" s="19"/>
      <c r="H42" s="19"/>
      <c r="I42" s="12"/>
      <c r="J42" s="32"/>
      <c r="K42" s="19"/>
      <c r="L42" s="19"/>
      <c r="M42" s="50"/>
      <c r="N42" s="50"/>
      <c r="O42" s="19"/>
      <c r="P42" s="19"/>
      <c r="Q42" s="12"/>
      <c r="R42" s="32"/>
      <c r="S42" s="19"/>
      <c r="T42" s="19"/>
      <c r="U42" s="19"/>
      <c r="V42" s="19"/>
      <c r="W42" s="19"/>
      <c r="X42" s="19"/>
      <c r="Y42" s="19"/>
      <c r="Z42" s="19"/>
      <c r="AA42" s="19"/>
      <c r="AB42" s="12"/>
      <c r="AK42" s="121"/>
      <c r="AL42" s="121"/>
      <c r="AM42" s="121"/>
      <c r="AN42" s="121"/>
      <c r="AO42" s="121"/>
      <c r="AP42" s="121"/>
      <c r="AQ42" s="121"/>
      <c r="AR42" s="121"/>
      <c r="AS42" s="121"/>
    </row>
    <row r="43" spans="1:45" ht="13" x14ac:dyDescent="0.3">
      <c r="A43" s="32"/>
      <c r="B43" s="20" t="s">
        <v>66</v>
      </c>
      <c r="C43" s="19"/>
      <c r="D43" s="19"/>
      <c r="E43" s="19"/>
      <c r="F43" s="19"/>
      <c r="G43" s="19"/>
      <c r="H43" s="19"/>
      <c r="I43" s="12"/>
      <c r="J43" s="32"/>
      <c r="K43" s="43" t="s">
        <v>214</v>
      </c>
      <c r="L43" s="10">
        <v>5</v>
      </c>
      <c r="M43" s="83">
        <f>SUM(M6*AM6)+(M7*AM7)+(M8*AM8)+(M9*AM9)+(M10*AM10)+(M11*AM11)+(M16*AM16)+(M18*AM18)+(M19*AM19)+(M20*AM20)+(M21*AM21)+(M23*AM23)+(M24*AM24)+(M26*AM26)+(M27*AM27)+(M28*AM28)+(M29*AM29)+(M30*AM30)+(M31*AM31)+(M32*AM32)+(M34*AM34)+(M35*AM35)+(M36*AM36)+(M38*AM38)</f>
        <v>0</v>
      </c>
      <c r="N43" s="83">
        <f>SUM(N6*AM6)+(N7*AM7)+(N8*AM8)+(N9*AM9)+(N10*AM10)+(N11*AM11)+(N16*AM16)+(N18*AM18)+(N19*AM19)+(N20*AM20)+(N21*AM21)+(N23*AM23)+(N24*AM24)+(N26*AM26)+(N27*AM27)+(N28*AM28)+(N29*AM29)+(N30*AM30)+(N31*AM31)+(N32*AM32)+(N34*AM34)+(N35*AM35)+(N36*AM36)+(N38*AM38)</f>
        <v>0</v>
      </c>
      <c r="O43" s="21" t="s">
        <v>162</v>
      </c>
      <c r="P43" s="19"/>
      <c r="Q43" s="12"/>
      <c r="R43" s="32"/>
      <c r="S43" s="91"/>
      <c r="T43" s="19"/>
      <c r="U43" s="19"/>
      <c r="V43" s="19"/>
      <c r="W43" s="19"/>
      <c r="X43" s="19"/>
      <c r="Y43" s="19"/>
      <c r="Z43" s="19"/>
      <c r="AA43" s="19"/>
      <c r="AB43" s="12"/>
      <c r="AK43" s="121"/>
      <c r="AL43" s="121" t="s">
        <v>171</v>
      </c>
      <c r="AM43" s="121">
        <v>0</v>
      </c>
      <c r="AN43" s="121">
        <v>0</v>
      </c>
      <c r="AO43" s="121">
        <v>0</v>
      </c>
      <c r="AP43" s="121"/>
      <c r="AQ43" s="121"/>
      <c r="AR43" s="121"/>
      <c r="AS43" s="121"/>
    </row>
    <row r="44" spans="1:45" ht="13" x14ac:dyDescent="0.3">
      <c r="A44" s="32"/>
      <c r="B44" s="19" t="s">
        <v>61</v>
      </c>
      <c r="C44" s="19"/>
      <c r="D44" s="19"/>
      <c r="E44" s="19"/>
      <c r="F44" s="19"/>
      <c r="G44" s="19"/>
      <c r="H44" s="19"/>
      <c r="I44" s="12"/>
      <c r="J44" s="32"/>
      <c r="K44" s="19"/>
      <c r="L44" s="85"/>
      <c r="M44" s="83">
        <f>SUM(M6*AN6)+(M7*AN7)+(M8*AN8)+(M9*AN9)+(M10*AN10)+(M11*AN11)+(M15*AN15)+(M18*AN18)+(M19*AN19)+(M20*AN20)+(M21*AN21)+(M23*AN23)+(M24*AN24)+(M26*AN26)+(M27*AN27)+(M28*AN28)+(M29*AN29)+(M30*AN30)+(M31*AN31)+(M32*AN32)+(M34*AN34)+(M35*AN35)+(M36*AN36)+(M38*AN38)+(L45*0.005)</f>
        <v>0</v>
      </c>
      <c r="N44" s="83">
        <f>SUM(N6*AN6)+(N7*AN7)+(N8*AN8)+(N9*AN9)+(N10*AN10)+(N11*AN11)+(N15*AN15)+(N18*AN18)+(N19*AN19)+(N20*AN20)+(N21*AN21)+(N23*AN23)+(N24*AN24)+(N26*AN26)+(N27*AN27)+(N28*AN28)+(N29*AN29)+(N30*AN30)+(N31*AN31)+(N32*AN32)+(N34*AN34)+(N35*AN35)+(N36*AN36)+(N38*AN38)+(M45*0.005)</f>
        <v>0</v>
      </c>
      <c r="O44" s="21" t="s">
        <v>163</v>
      </c>
      <c r="P44" s="19"/>
      <c r="Q44" s="12"/>
      <c r="R44" s="32"/>
      <c r="S44" s="19"/>
      <c r="T44" s="19"/>
      <c r="U44" s="19"/>
      <c r="V44" s="19"/>
      <c r="W44" s="19"/>
      <c r="X44" s="19"/>
      <c r="Y44" s="19"/>
      <c r="Z44" s="19"/>
      <c r="AA44" s="19"/>
      <c r="AB44" s="12"/>
      <c r="AK44" s="121"/>
      <c r="AL44" s="121" t="s">
        <v>135</v>
      </c>
      <c r="AM44" s="121">
        <v>0.02</v>
      </c>
      <c r="AN44" s="121">
        <v>0.02</v>
      </c>
      <c r="AO44" s="121">
        <v>1</v>
      </c>
      <c r="AP44" s="121"/>
      <c r="AQ44" s="121"/>
      <c r="AR44" s="121"/>
      <c r="AS44" s="121"/>
    </row>
    <row r="45" spans="1:45" ht="13" x14ac:dyDescent="0.3">
      <c r="A45" s="32"/>
      <c r="B45" s="19" t="s">
        <v>62</v>
      </c>
      <c r="C45" s="19"/>
      <c r="D45" s="19"/>
      <c r="E45" s="19"/>
      <c r="F45" s="19"/>
      <c r="G45" s="19"/>
      <c r="H45" s="19"/>
      <c r="I45" s="12"/>
      <c r="J45" s="32"/>
      <c r="K45" s="21" t="s">
        <v>156</v>
      </c>
      <c r="L45" s="33">
        <f>IF(SUM(M6,M7,M8,M9,M10,M11,M23,M24,M26,M27,M28,M29,M31)&lt;$L43,SUM(M6,M7,M8,M9,M10,M11,M23,M24,M26,M27,M28,M29,M31),$L43)</f>
        <v>0</v>
      </c>
      <c r="M45" s="33">
        <f>IF(SUM(N6,N7,N8,N9,N10,N11,N23,N24,N26,N27,N28,N29,N31)&lt;$L43,SUM(N6,N7,N8,N9,N10,N11,N23,N24,N26,N27,N28,N29,N31),$L43)</f>
        <v>0</v>
      </c>
      <c r="N45" s="91"/>
      <c r="O45" s="19"/>
      <c r="P45" s="19"/>
      <c r="Q45" s="12"/>
      <c r="R45" s="32"/>
      <c r="S45" s="19"/>
      <c r="T45" s="19"/>
      <c r="U45" s="19"/>
      <c r="V45" s="19"/>
      <c r="W45" s="19"/>
      <c r="X45" s="19"/>
      <c r="Y45" s="19"/>
      <c r="Z45" s="19"/>
      <c r="AA45" s="19"/>
      <c r="AB45" s="12"/>
      <c r="AK45" s="121"/>
      <c r="AL45" s="121" t="s">
        <v>134</v>
      </c>
      <c r="AM45" s="121">
        <v>6.2E-2</v>
      </c>
      <c r="AN45" s="121">
        <v>6.2E-2</v>
      </c>
      <c r="AO45" s="121">
        <v>1</v>
      </c>
      <c r="AP45" s="121"/>
      <c r="AQ45" s="121"/>
      <c r="AR45" s="121"/>
      <c r="AS45" s="121"/>
    </row>
    <row r="46" spans="1:45" x14ac:dyDescent="0.25">
      <c r="A46" s="32"/>
      <c r="B46" s="19" t="s">
        <v>16</v>
      </c>
      <c r="C46" s="19"/>
      <c r="D46" s="19"/>
      <c r="E46" s="19"/>
      <c r="F46" s="19"/>
      <c r="G46" s="19"/>
      <c r="H46" s="19"/>
      <c r="I46" s="12"/>
      <c r="J46" s="32"/>
      <c r="K46" s="187" t="s">
        <v>226</v>
      </c>
      <c r="L46" s="188"/>
      <c r="M46" s="87" t="str">
        <f>IF(M3&gt;126,"Exceeds","OK")</f>
        <v>OK</v>
      </c>
      <c r="N46" s="87" t="str">
        <f>IF(N3&gt;126,"Exceeds","OK")</f>
        <v>OK</v>
      </c>
      <c r="O46" s="19"/>
      <c r="P46" s="19"/>
      <c r="Q46" s="12"/>
      <c r="R46" s="32"/>
      <c r="S46" s="19"/>
      <c r="T46" s="19"/>
      <c r="U46" s="19"/>
      <c r="V46" s="19"/>
      <c r="W46" s="19"/>
      <c r="X46" s="19"/>
      <c r="Y46" s="19"/>
      <c r="Z46" s="19"/>
      <c r="AA46" s="19"/>
      <c r="AB46" s="12"/>
      <c r="AK46" s="121"/>
      <c r="AL46" s="121"/>
      <c r="AM46" s="121"/>
      <c r="AN46" s="121"/>
      <c r="AO46" s="121"/>
      <c r="AP46" s="121"/>
      <c r="AQ46" s="121"/>
      <c r="AR46" s="121"/>
      <c r="AS46" s="121"/>
    </row>
    <row r="47" spans="1:45" x14ac:dyDescent="0.25">
      <c r="A47" s="32"/>
      <c r="B47" s="168"/>
      <c r="C47" s="169"/>
      <c r="D47" s="169"/>
      <c r="E47" s="169"/>
      <c r="F47" s="169"/>
      <c r="G47" s="169"/>
      <c r="H47" s="170"/>
      <c r="I47" s="12"/>
      <c r="J47" s="32"/>
      <c r="K47" s="19"/>
      <c r="L47" s="19"/>
      <c r="M47" s="19"/>
      <c r="N47" s="19"/>
      <c r="O47" s="19"/>
      <c r="P47" s="19"/>
      <c r="Q47" s="12"/>
      <c r="R47" s="32"/>
      <c r="S47" s="19"/>
      <c r="T47" s="19"/>
      <c r="U47" s="19"/>
      <c r="V47" s="19"/>
      <c r="W47" s="19"/>
      <c r="X47" s="19"/>
      <c r="Y47" s="19"/>
      <c r="Z47" s="19"/>
      <c r="AA47" s="19"/>
      <c r="AB47" s="12"/>
      <c r="AK47" s="121"/>
      <c r="AL47" s="121"/>
      <c r="AM47" s="121"/>
      <c r="AN47" s="121"/>
      <c r="AO47" s="121"/>
      <c r="AP47" s="121"/>
      <c r="AQ47" s="121"/>
      <c r="AR47" s="121"/>
      <c r="AS47" s="121"/>
    </row>
    <row r="48" spans="1:45" x14ac:dyDescent="0.25">
      <c r="A48" s="32"/>
      <c r="B48" s="171"/>
      <c r="C48" s="172"/>
      <c r="D48" s="172"/>
      <c r="E48" s="172"/>
      <c r="F48" s="172"/>
      <c r="G48" s="172"/>
      <c r="H48" s="173"/>
      <c r="I48" s="12"/>
      <c r="J48" s="32"/>
      <c r="K48" s="183" t="s">
        <v>227</v>
      </c>
      <c r="L48" s="184"/>
      <c r="M48" s="39" t="str">
        <f>IF(M44&gt;0.5,"Exceeds","OK")</f>
        <v>OK</v>
      </c>
      <c r="N48" s="39" t="str">
        <f>IF(N44&gt;0.5,"Exceeds","OK")</f>
        <v>OK</v>
      </c>
      <c r="O48" s="19"/>
      <c r="P48" s="19"/>
      <c r="Q48" s="12"/>
      <c r="R48" s="32"/>
      <c r="S48" s="19"/>
      <c r="T48" s="19"/>
      <c r="U48" s="19"/>
      <c r="V48" s="19"/>
      <c r="W48" s="19"/>
      <c r="X48" s="19"/>
      <c r="Y48" s="19"/>
      <c r="Z48" s="19"/>
      <c r="AA48" s="19"/>
      <c r="AB48" s="12"/>
      <c r="AK48" s="121"/>
      <c r="AL48" s="121"/>
      <c r="AM48" s="121"/>
      <c r="AN48" s="121"/>
      <c r="AO48" s="121"/>
      <c r="AP48" s="121"/>
      <c r="AQ48" s="121"/>
      <c r="AR48" s="121"/>
      <c r="AS48" s="121"/>
    </row>
    <row r="49" spans="1:57" x14ac:dyDescent="0.25">
      <c r="A49" s="32"/>
      <c r="B49" s="171"/>
      <c r="C49" s="172"/>
      <c r="D49" s="172"/>
      <c r="E49" s="172"/>
      <c r="F49" s="172"/>
      <c r="G49" s="172"/>
      <c r="H49" s="173"/>
      <c r="I49" s="12"/>
      <c r="J49" s="32"/>
      <c r="K49" s="19"/>
      <c r="L49" s="19"/>
      <c r="M49" s="19"/>
      <c r="N49" s="19"/>
      <c r="O49" s="19"/>
      <c r="P49" s="19"/>
      <c r="Q49" s="12"/>
      <c r="R49" s="32"/>
      <c r="S49" s="19"/>
      <c r="T49" s="19"/>
      <c r="U49" s="19"/>
      <c r="V49" s="19"/>
      <c r="W49" s="19"/>
      <c r="X49" s="19"/>
      <c r="Y49" s="19"/>
      <c r="Z49" s="19"/>
      <c r="AA49" s="19"/>
      <c r="AB49" s="12"/>
      <c r="AK49" s="121"/>
      <c r="AL49" s="121"/>
      <c r="AM49" s="128"/>
      <c r="AN49" s="128"/>
      <c r="AO49" s="121"/>
      <c r="AP49" s="121"/>
      <c r="AQ49" s="121"/>
      <c r="AR49" s="121"/>
      <c r="AS49" s="121"/>
    </row>
    <row r="50" spans="1:57" x14ac:dyDescent="0.25">
      <c r="A50" s="32"/>
      <c r="B50" s="171"/>
      <c r="C50" s="172"/>
      <c r="D50" s="172"/>
      <c r="E50" s="172"/>
      <c r="F50" s="172"/>
      <c r="G50" s="172"/>
      <c r="H50" s="173"/>
      <c r="I50" s="12"/>
      <c r="J50" s="32"/>
      <c r="K50" s="19"/>
      <c r="L50" s="19"/>
      <c r="M50" s="19"/>
      <c r="N50" s="19"/>
      <c r="O50" s="19"/>
      <c r="P50" s="19"/>
      <c r="Q50" s="12"/>
      <c r="R50" s="32"/>
      <c r="S50" s="19"/>
      <c r="T50" s="19"/>
      <c r="U50" s="19"/>
      <c r="V50" s="19"/>
      <c r="W50" s="19"/>
      <c r="X50" s="19"/>
      <c r="Y50" s="19"/>
      <c r="Z50" s="19"/>
      <c r="AA50" s="19"/>
      <c r="AB50" s="12"/>
      <c r="AK50" s="121"/>
      <c r="AL50" s="121" t="s">
        <v>178</v>
      </c>
      <c r="AM50" s="128">
        <v>0</v>
      </c>
      <c r="AN50" s="128">
        <v>0</v>
      </c>
      <c r="AO50" s="121"/>
      <c r="AP50" s="121"/>
      <c r="AQ50" s="121"/>
      <c r="AR50" s="121"/>
      <c r="AS50" s="121"/>
    </row>
    <row r="51" spans="1:57" x14ac:dyDescent="0.25">
      <c r="A51" s="32"/>
      <c r="B51" s="171"/>
      <c r="C51" s="172"/>
      <c r="D51" s="172"/>
      <c r="E51" s="172"/>
      <c r="F51" s="172"/>
      <c r="G51" s="172"/>
      <c r="H51" s="173"/>
      <c r="I51" s="12"/>
      <c r="J51" s="32"/>
      <c r="K51" s="19"/>
      <c r="L51" s="19"/>
      <c r="M51" s="19"/>
      <c r="N51" s="19"/>
      <c r="O51" s="19"/>
      <c r="P51" s="19"/>
      <c r="Q51" s="12"/>
      <c r="R51" s="32"/>
      <c r="S51" s="19"/>
      <c r="T51" s="19"/>
      <c r="U51" s="19"/>
      <c r="V51" s="19"/>
      <c r="W51" s="19"/>
      <c r="X51" s="19"/>
      <c r="Y51" s="19"/>
      <c r="Z51" s="19"/>
      <c r="AA51" s="19"/>
      <c r="AB51" s="12"/>
      <c r="AK51" s="121"/>
      <c r="AL51" s="121" t="s">
        <v>179</v>
      </c>
      <c r="AM51" s="121">
        <v>0.03</v>
      </c>
      <c r="AN51" s="121">
        <v>0.03</v>
      </c>
      <c r="AO51" s="121"/>
      <c r="AP51" s="121"/>
      <c r="AQ51" s="121"/>
      <c r="AR51" s="121"/>
      <c r="AS51" s="121"/>
    </row>
    <row r="52" spans="1:57" x14ac:dyDescent="0.25">
      <c r="A52" s="32"/>
      <c r="B52" s="171"/>
      <c r="C52" s="172"/>
      <c r="D52" s="172"/>
      <c r="E52" s="172"/>
      <c r="F52" s="172"/>
      <c r="G52" s="172"/>
      <c r="H52" s="173"/>
      <c r="I52" s="12"/>
      <c r="J52" s="32"/>
      <c r="K52" s="19"/>
      <c r="L52" s="19"/>
      <c r="M52" s="19"/>
      <c r="N52" s="19"/>
      <c r="O52" s="19"/>
      <c r="P52" s="19"/>
      <c r="Q52" s="12"/>
      <c r="R52" s="32"/>
      <c r="S52" s="19"/>
      <c r="T52" s="19"/>
      <c r="U52" s="19"/>
      <c r="V52" s="19"/>
      <c r="W52" s="19"/>
      <c r="X52" s="19"/>
      <c r="Y52" s="19"/>
      <c r="Z52" s="19"/>
      <c r="AA52" s="19"/>
      <c r="AB52" s="12"/>
      <c r="AK52" s="121"/>
      <c r="AL52" s="121"/>
      <c r="AM52" s="121"/>
      <c r="AN52" s="121"/>
      <c r="AO52" s="121"/>
      <c r="AP52" s="121"/>
      <c r="AQ52" s="121"/>
      <c r="AR52" s="121"/>
      <c r="AS52" s="121"/>
    </row>
    <row r="53" spans="1:57" x14ac:dyDescent="0.25">
      <c r="A53" s="32"/>
      <c r="B53" s="171"/>
      <c r="C53" s="172"/>
      <c r="D53" s="172"/>
      <c r="E53" s="172"/>
      <c r="F53" s="172"/>
      <c r="G53" s="172"/>
      <c r="H53" s="173"/>
      <c r="I53" s="12"/>
      <c r="J53" s="32"/>
      <c r="K53" s="19"/>
      <c r="L53" s="19"/>
      <c r="M53" s="19"/>
      <c r="N53" s="19"/>
      <c r="O53" s="19"/>
      <c r="P53" s="19"/>
      <c r="Q53" s="12"/>
      <c r="R53" s="32"/>
      <c r="S53" s="19"/>
      <c r="T53" s="19"/>
      <c r="U53" s="19"/>
      <c r="V53" s="19"/>
      <c r="W53" s="19"/>
      <c r="X53" s="19"/>
      <c r="Y53" s="19"/>
      <c r="Z53" s="19"/>
      <c r="AA53" s="19"/>
      <c r="AB53" s="12"/>
      <c r="AK53" s="121"/>
      <c r="AL53" s="121"/>
      <c r="AM53" s="121"/>
      <c r="AN53" s="121"/>
      <c r="AO53" s="121"/>
      <c r="AP53" s="121"/>
      <c r="AQ53" s="121"/>
      <c r="AR53" s="121"/>
      <c r="AS53" s="121"/>
    </row>
    <row r="54" spans="1:57" x14ac:dyDescent="0.25">
      <c r="A54" s="32"/>
      <c r="B54" s="174"/>
      <c r="C54" s="175"/>
      <c r="D54" s="175"/>
      <c r="E54" s="175"/>
      <c r="F54" s="175"/>
      <c r="G54" s="175"/>
      <c r="H54" s="176"/>
      <c r="I54" s="12"/>
      <c r="J54" s="32"/>
      <c r="K54" s="19"/>
      <c r="L54" s="19"/>
      <c r="M54" s="19"/>
      <c r="N54" s="19"/>
      <c r="O54" s="19"/>
      <c r="P54" s="19"/>
      <c r="Q54" s="12"/>
      <c r="R54" s="32"/>
      <c r="S54" s="19"/>
      <c r="T54" s="19"/>
      <c r="U54" s="19"/>
      <c r="V54" s="19"/>
      <c r="W54" s="19"/>
      <c r="X54" s="19"/>
      <c r="Y54" s="19"/>
      <c r="Z54" s="19"/>
      <c r="AA54" s="19"/>
      <c r="AB54" s="12"/>
      <c r="AK54" s="121"/>
      <c r="AL54" s="121" t="s">
        <v>137</v>
      </c>
      <c r="AM54" s="128">
        <v>0</v>
      </c>
      <c r="AN54" s="128">
        <v>0</v>
      </c>
      <c r="AO54" s="121">
        <v>0</v>
      </c>
      <c r="AP54" s="121"/>
      <c r="AQ54" s="121"/>
      <c r="AR54" s="121"/>
      <c r="AS54" s="121"/>
    </row>
    <row r="55" spans="1:57" ht="13" thickBot="1" x14ac:dyDescent="0.3">
      <c r="A55" s="88"/>
      <c r="B55" s="24"/>
      <c r="C55" s="24"/>
      <c r="D55" s="24"/>
      <c r="E55" s="24"/>
      <c r="F55" s="24"/>
      <c r="G55" s="24"/>
      <c r="H55" s="24"/>
      <c r="I55" s="18"/>
      <c r="J55" s="88"/>
      <c r="K55" s="24"/>
      <c r="L55" s="24"/>
      <c r="M55" s="24"/>
      <c r="N55" s="24"/>
      <c r="O55" s="24"/>
      <c r="P55" s="24" t="s">
        <v>43</v>
      </c>
      <c r="Q55" s="89" t="s">
        <v>132</v>
      </c>
      <c r="R55" s="88"/>
      <c r="S55" s="24"/>
      <c r="T55" s="24"/>
      <c r="U55" s="24"/>
      <c r="V55" s="24"/>
      <c r="W55" s="24"/>
      <c r="X55" s="24"/>
      <c r="Y55" s="24"/>
      <c r="Z55" s="24"/>
      <c r="AA55" s="24"/>
      <c r="AB55" s="18"/>
      <c r="AK55" s="121"/>
      <c r="AL55" s="121" t="s">
        <v>136</v>
      </c>
      <c r="AM55" s="121">
        <v>7.0000000000000007E-2</v>
      </c>
      <c r="AN55" s="121">
        <v>7.0000000000000007E-2</v>
      </c>
      <c r="AO55" s="121">
        <v>1</v>
      </c>
      <c r="AP55" s="121"/>
      <c r="AQ55" s="121"/>
      <c r="AR55" s="121"/>
      <c r="AS55" s="121"/>
    </row>
    <row r="56" spans="1:57" s="19" customFormat="1" x14ac:dyDescent="0.25">
      <c r="AK56" s="121"/>
      <c r="AL56" s="121" t="s">
        <v>138</v>
      </c>
      <c r="AM56" s="121">
        <v>0.11</v>
      </c>
      <c r="AN56" s="121">
        <v>0.11</v>
      </c>
      <c r="AO56" s="121">
        <v>1</v>
      </c>
      <c r="AP56" s="121"/>
      <c r="AQ56" s="121"/>
      <c r="AR56" s="121"/>
      <c r="AS56" s="121"/>
      <c r="AT56"/>
      <c r="AU56"/>
      <c r="AV56"/>
      <c r="AW56"/>
      <c r="AX56"/>
      <c r="AY56"/>
      <c r="AZ56"/>
      <c r="BA56"/>
      <c r="BB56"/>
      <c r="BC56"/>
      <c r="BD56"/>
      <c r="BE56"/>
    </row>
    <row r="57" spans="1:57" s="19" customFormat="1" x14ac:dyDescent="0.25">
      <c r="AK57" s="121"/>
      <c r="AL57" s="121"/>
      <c r="AM57" s="121"/>
      <c r="AN57" s="121"/>
      <c r="AO57" s="121"/>
      <c r="AP57" s="121"/>
      <c r="AQ57" s="121"/>
      <c r="AR57" s="121"/>
      <c r="AS57" s="121"/>
      <c r="AT57"/>
      <c r="AU57"/>
      <c r="AV57"/>
      <c r="AW57"/>
      <c r="AX57"/>
      <c r="AY57"/>
      <c r="AZ57"/>
      <c r="BA57"/>
      <c r="BB57"/>
      <c r="BC57"/>
      <c r="BD57"/>
      <c r="BE57"/>
    </row>
    <row r="58" spans="1:57" s="19" customFormat="1" x14ac:dyDescent="0.25"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</row>
    <row r="59" spans="1:57" s="19" customFormat="1" x14ac:dyDescent="0.25"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</row>
    <row r="60" spans="1:57" s="19" customFormat="1" x14ac:dyDescent="0.25"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</row>
    <row r="61" spans="1:57" s="19" customFormat="1" x14ac:dyDescent="0.25"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</row>
    <row r="62" spans="1:57" s="19" customFormat="1" x14ac:dyDescent="0.25"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</row>
    <row r="63" spans="1:57" s="19" customFormat="1" x14ac:dyDescent="0.25"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</row>
    <row r="64" spans="1:57" s="19" customFormat="1" x14ac:dyDescent="0.25"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</row>
    <row r="65" spans="37:57" s="19" customFormat="1" x14ac:dyDescent="0.25"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</row>
    <row r="66" spans="37:57" s="19" customFormat="1" x14ac:dyDescent="0.25"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</row>
    <row r="67" spans="37:57" s="19" customFormat="1" x14ac:dyDescent="0.25"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</row>
    <row r="68" spans="37:57" s="19" customFormat="1" x14ac:dyDescent="0.25"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</row>
    <row r="69" spans="37:57" s="19" customFormat="1" x14ac:dyDescent="0.25"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</row>
    <row r="70" spans="37:57" s="19" customFormat="1" x14ac:dyDescent="0.25"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</row>
    <row r="71" spans="37:57" s="19" customFormat="1" x14ac:dyDescent="0.25"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</row>
    <row r="72" spans="37:57" s="19" customFormat="1" x14ac:dyDescent="0.25"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</row>
    <row r="73" spans="37:57" s="19" customFormat="1" x14ac:dyDescent="0.25"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</row>
    <row r="74" spans="37:57" s="19" customFormat="1" x14ac:dyDescent="0.25"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</row>
    <row r="75" spans="37:57" s="19" customFormat="1" x14ac:dyDescent="0.25"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37:57" s="19" customFormat="1" x14ac:dyDescent="0.25"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</row>
    <row r="77" spans="37:57" s="19" customFormat="1" x14ac:dyDescent="0.25"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</row>
    <row r="78" spans="37:57" s="19" customFormat="1" x14ac:dyDescent="0.25"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</row>
    <row r="79" spans="37:57" s="19" customFormat="1" x14ac:dyDescent="0.25">
      <c r="AK79"/>
      <c r="AL79" s="121">
        <v>123</v>
      </c>
      <c r="AM79" s="121">
        <v>0</v>
      </c>
      <c r="AN79" s="121">
        <v>0</v>
      </c>
      <c r="AO79" s="121">
        <v>0</v>
      </c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</row>
    <row r="80" spans="37:57" x14ac:dyDescent="0.25">
      <c r="AL80" s="121">
        <v>124</v>
      </c>
      <c r="AM80" s="121">
        <v>1</v>
      </c>
      <c r="AN80" s="121">
        <v>1</v>
      </c>
      <c r="AO80" s="121">
        <v>1</v>
      </c>
    </row>
    <row r="81" spans="38:41" x14ac:dyDescent="0.25">
      <c r="AL81" s="121">
        <v>125</v>
      </c>
      <c r="AM81" s="121">
        <v>1</v>
      </c>
      <c r="AN81" s="121">
        <v>2</v>
      </c>
      <c r="AO81" s="121">
        <v>2</v>
      </c>
    </row>
  </sheetData>
  <sheetProtection password="8969" sheet="1" selectLockedCells="1"/>
  <mergeCells count="23">
    <mergeCell ref="A1:I2"/>
    <mergeCell ref="C4:H4"/>
    <mergeCell ref="K33:L33"/>
    <mergeCell ref="K37:L37"/>
    <mergeCell ref="T2:AA2"/>
    <mergeCell ref="T4:AA4"/>
    <mergeCell ref="C5:E5"/>
    <mergeCell ref="G5:H5"/>
    <mergeCell ref="K5:L5"/>
    <mergeCell ref="A3:I3"/>
    <mergeCell ref="K12:L12"/>
    <mergeCell ref="C41:G41"/>
    <mergeCell ref="B47:H54"/>
    <mergeCell ref="K13:L13"/>
    <mergeCell ref="K17:L17"/>
    <mergeCell ref="C37:D37"/>
    <mergeCell ref="F37:G37"/>
    <mergeCell ref="C39:G39"/>
    <mergeCell ref="C40:G40"/>
    <mergeCell ref="K22:L22"/>
    <mergeCell ref="K25:L25"/>
    <mergeCell ref="K48:L48"/>
    <mergeCell ref="K46:L46"/>
  </mergeCells>
  <conditionalFormatting sqref="B41">
    <cfRule type="containsText" dxfId="47" priority="3" stopIfTrue="1" operator="containsText" text="Exceeds">
      <formula>NOT(ISERROR(SEARCH("Exceeds",B41)))</formula>
    </cfRule>
  </conditionalFormatting>
  <conditionalFormatting sqref="C30">
    <cfRule type="containsText" dxfId="46" priority="4" stopIfTrue="1" operator="containsText" text="Exceeds">
      <formula>NOT(ISERROR(SEARCH("Exceeds",C30)))</formula>
    </cfRule>
  </conditionalFormatting>
  <conditionalFormatting sqref="H41">
    <cfRule type="cellIs" dxfId="45" priority="1" stopIfTrue="1" operator="greaterThan">
      <formula>$AS$20</formula>
    </cfRule>
  </conditionalFormatting>
  <conditionalFormatting sqref="M46:N46">
    <cfRule type="containsText" dxfId="44" priority="7" stopIfTrue="1" operator="containsText" text="Exceeds">
      <formula>NOT(ISERROR(SEARCH("Exceeds",M46)))</formula>
    </cfRule>
  </conditionalFormatting>
  <conditionalFormatting sqref="M48:N48">
    <cfRule type="containsText" dxfId="43" priority="5" stopIfTrue="1" operator="containsText" text="Exceeds">
      <formula>NOT(ISERROR(SEARCH("Exceeds",M48)))</formula>
    </cfRule>
  </conditionalFormatting>
  <conditionalFormatting sqref="AA6:AA7">
    <cfRule type="cellIs" dxfId="42" priority="19" stopIfTrue="1" operator="lessThan">
      <formula>16</formula>
    </cfRule>
    <cfRule type="cellIs" dxfId="41" priority="20" stopIfTrue="1" operator="greaterThan">
      <formula>16</formula>
    </cfRule>
  </conditionalFormatting>
  <conditionalFormatting sqref="AA9:AA10">
    <cfRule type="cellIs" dxfId="40" priority="17" stopIfTrue="1" operator="lessThan">
      <formula>16</formula>
    </cfRule>
    <cfRule type="cellIs" dxfId="39" priority="18" stopIfTrue="1" operator="greaterThan">
      <formula>16</formula>
    </cfRule>
  </conditionalFormatting>
  <conditionalFormatting sqref="AA12:AA13">
    <cfRule type="cellIs" dxfId="38" priority="13" stopIfTrue="1" operator="lessThan">
      <formula>16</formula>
    </cfRule>
    <cfRule type="cellIs" dxfId="37" priority="14" stopIfTrue="1" operator="greaterThan">
      <formula>16</formula>
    </cfRule>
  </conditionalFormatting>
  <conditionalFormatting sqref="AA15:AA16">
    <cfRule type="cellIs" dxfId="36" priority="9" stopIfTrue="1" operator="lessThan">
      <formula>16</formula>
    </cfRule>
    <cfRule type="cellIs" dxfId="35" priority="10" stopIfTrue="1" operator="greaterThan">
      <formula>16</formula>
    </cfRule>
  </conditionalFormatting>
  <dataValidations count="21">
    <dataValidation allowBlank="1" showInputMessage="1" showErrorMessage="1" promptTitle="NAC 2 Wire Length" prompt="Enter Total Wire Length_x000a_if Class A Out and Back" sqref="Y7" xr:uid="{00000000-0002-0000-0100-000000000000}"/>
    <dataValidation allowBlank="1" showInputMessage="1" showErrorMessage="1" promptTitle="NAC 1 Wire Length" prompt="Enter Total Wire Length_x000a_if Class A Out and Back" sqref="Y6" xr:uid="{00000000-0002-0000-0100-000001000000}"/>
    <dataValidation type="whole" allowBlank="1" showInputMessage="1" showErrorMessage="1" prompt="Due to Alarm Current Draw_x000a_Valid Range 0 - 1" sqref="D24 D27" xr:uid="{00000000-0002-0000-0100-000002000000}">
      <formula1>0</formula1>
      <formula2>1</formula2>
    </dataValidation>
    <dataValidation allowBlank="1" showInputMessage="1" showErrorMessage="1" promptTitle="Aux 2 Current Load" prompt="Valid Range 0 - 0.5" sqref="F31 C31" xr:uid="{00000000-0002-0000-0100-000003000000}"/>
    <dataValidation type="list" allowBlank="1" showInputMessage="1" showErrorMessage="1" promptTitle="Alarm Duration" prompt="Enter alarm duration_x000a_via dropdown menu" sqref="F38" xr:uid="{00000000-0002-0000-0100-000004000000}">
      <formula1>$AR$6:$AR$17</formula1>
    </dataValidation>
    <dataValidation type="decimal" allowBlank="1" showInputMessage="1" showErrorMessage="1" promptTitle="NAC 1 Alarm Load" prompt="Valid Range 0 - 2_x000a_Refer to Voltage Drop Calculator on the right" sqref="F33" xr:uid="{00000000-0002-0000-0100-000005000000}">
      <formula1>0</formula1>
      <formula2>2</formula2>
    </dataValidation>
    <dataValidation type="decimal" allowBlank="1" showInputMessage="1" showErrorMessage="1" promptTitle="NAC 2 Alarm Load" prompt="Valid Range 0 - 2_x000a_Refer to Voltage Drop Calculator on right" sqref="F34" xr:uid="{00000000-0002-0000-0100-000006000000}">
      <formula1>0</formula1>
      <formula2>2</formula2>
    </dataValidation>
    <dataValidation type="list" allowBlank="1" showInputMessage="1" showErrorMessage="1" promptTitle="Network Style" prompt="Select Network Wiring_x000a_Style 4(B) or 7(A)" sqref="B14" xr:uid="{00000000-0002-0000-0100-000007000000}">
      <formula1>$AL$43:$AL$45</formula1>
    </dataValidation>
    <dataValidation type="list" allowBlank="1" showInputMessage="1" showErrorMessage="1" promptTitle="Select ipGateway Usage" prompt="ipGateway Network Interface/Wiring" sqref="B23" xr:uid="{00000000-0002-0000-0100-000008000000}">
      <formula1>$AL$54:$AL$56</formula1>
    </dataValidation>
    <dataValidation type="list" allowBlank="1" showInputMessage="1" showErrorMessage="1" promptTitle="LCD Backlight Battery Mode" prompt="Select AC Failure LCD Backlight Operation:_x000a_OFF_x000a_ON" sqref="B11" xr:uid="{00000000-0002-0000-0100-000009000000}">
      <formula1>$AL$50:$AL$51</formula1>
    </dataValidation>
    <dataValidation type="whole" allowBlank="1" showInputMessage="1" showErrorMessage="1" prompt="Valid Range 0 - 15" sqref="D18:D19 D21" xr:uid="{00000000-0002-0000-0100-00000A000000}">
      <formula1>0</formula1>
      <formula2>15</formula2>
    </dataValidation>
    <dataValidation allowBlank="1" showInputMessage="1" showErrorMessage="1" prompt="Enter Project Name / Location" sqref="C4:H4" xr:uid="{00000000-0002-0000-0100-00000B000000}"/>
    <dataValidation allowBlank="1" showInputMessage="1" showErrorMessage="1" prompt="Enter your name" sqref="C5:E5" xr:uid="{00000000-0002-0000-0100-00000C000000}"/>
    <dataValidation allowBlank="1" showInputMessage="1" showErrorMessage="1" prompt="Enter date" sqref="G5:H5" xr:uid="{00000000-0002-0000-0100-00000D000000}"/>
    <dataValidation allowBlank="1" showInputMessage="1" showErrorMessage="1" promptTitle="Standby Duration" prompt="Enter standby period required in hours" sqref="C38" xr:uid="{00000000-0002-0000-0100-00000E000000}"/>
    <dataValidation type="whole" allowBlank="1" showInputMessage="1" showErrorMessage="1" prompt="Valid Range 0 - 1" sqref="G32 G17 D16" xr:uid="{00000000-0002-0000-0100-00000F000000}">
      <formula1>0</formula1>
      <formula2>1</formula2>
    </dataValidation>
    <dataValidation type="decimal" allowBlank="1" showInputMessage="1" showErrorMessage="1" promptTitle="Aux 1 Current Load" prompt="Valid Range 0 - 0.5" sqref="F29 C29" xr:uid="{00000000-0002-0000-0100-000010000000}">
      <formula1>0</formula1>
      <formula2>0.5</formula2>
    </dataValidation>
    <dataValidation type="decimal" allowBlank="1" showInputMessage="1" showErrorMessage="1" promptTitle="Alarm Load" prompt="Valid Range 0 - 2.00" sqref="F35:F36" xr:uid="{00000000-0002-0000-0100-000011000000}">
      <formula1>0</formula1>
      <formula2>2</formula2>
    </dataValidation>
    <dataValidation type="decimal" allowBlank="1" showInputMessage="1" showErrorMessage="1" prompt="Valid Range 0 - 0.5" sqref="F30" xr:uid="{00000000-0002-0000-0100-000012000000}">
      <formula1>0</formula1>
      <formula2>0.5</formula2>
    </dataValidation>
    <dataValidation type="whole" allowBlank="1" showInputMessage="1" showErrorMessage="1" error="Valid Range 1 - 50" promptTitle="Maximum Number of Device LED" prompt="Valid Range 1 - 50" sqref="L43" xr:uid="{00000000-0002-0000-0100-000013000000}">
      <formula1>1</formula1>
      <formula2>50</formula2>
    </dataValidation>
    <dataValidation allowBlank="1" showInputMessage="1" showErrorMessage="1" promptTitle="User Notes" prompt="Enter any required special notes" sqref="B47:H54" xr:uid="{00000000-0002-0000-0100-000014000000}"/>
  </dataValidations>
  <pageMargins left="0.75" right="0.75" top="1" bottom="1" header="0.5" footer="0.5"/>
  <pageSetup paperSize="9" scale="18" orientation="portrait" r:id="rId1"/>
  <headerFooter alignWithMargins="0"/>
  <ignoredErrors>
    <ignoredError sqref="C30" unlockedFormula="1"/>
    <ignoredError sqref="Q5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X82"/>
  <sheetViews>
    <sheetView zoomScale="91" workbookViewId="0">
      <selection activeCell="C4" sqref="C4:H4"/>
    </sheetView>
  </sheetViews>
  <sheetFormatPr defaultColWidth="9.1796875" defaultRowHeight="12.5" x14ac:dyDescent="0.25"/>
  <cols>
    <col min="1" max="1" width="5.54296875" customWidth="1"/>
    <col min="2" max="2" width="26.54296875" customWidth="1"/>
    <col min="3" max="3" width="17" bestFit="1" customWidth="1"/>
    <col min="4" max="4" width="5.7265625" customWidth="1"/>
    <col min="5" max="6" width="9.26953125" bestFit="1" customWidth="1"/>
    <col min="7" max="7" width="8.453125" customWidth="1"/>
    <col min="8" max="8" width="10.7265625" customWidth="1"/>
    <col min="9" max="9" width="5.54296875" customWidth="1"/>
    <col min="10" max="10" width="4.7265625" customWidth="1"/>
    <col min="11" max="11" width="19.453125" customWidth="1"/>
    <col min="12" max="12" width="41.81640625" customWidth="1"/>
    <col min="13" max="16" width="8.7265625" customWidth="1"/>
    <col min="18" max="18" width="9.1796875" customWidth="1"/>
    <col min="19" max="19" width="3.81640625" customWidth="1"/>
    <col min="20" max="20" width="2.1796875" customWidth="1"/>
    <col min="21" max="21" width="14.81640625" customWidth="1"/>
    <col min="23" max="23" width="11" customWidth="1"/>
    <col min="26" max="26" width="13.1796875" customWidth="1"/>
    <col min="27" max="27" width="10.81640625" customWidth="1"/>
    <col min="28" max="28" width="10.7265625" customWidth="1"/>
    <col min="29" max="29" width="2.81640625" customWidth="1"/>
    <col min="35" max="35" width="9.26953125" customWidth="1"/>
    <col min="36" max="37" width="14" customWidth="1"/>
    <col min="38" max="38" width="31.1796875" customWidth="1"/>
    <col min="39" max="39" width="9.81640625" customWidth="1"/>
    <col min="40" max="40" width="10.81640625" customWidth="1"/>
    <col min="41" max="46" width="9.1796875" customWidth="1"/>
    <col min="47" max="47" width="14.1796875" customWidth="1"/>
  </cols>
  <sheetData>
    <row r="1" spans="1:50" x14ac:dyDescent="0.25">
      <c r="A1" s="150" t="s">
        <v>218</v>
      </c>
      <c r="B1" s="151"/>
      <c r="C1" s="151"/>
      <c r="D1" s="151"/>
      <c r="E1" s="151"/>
      <c r="F1" s="151"/>
      <c r="G1" s="151"/>
      <c r="H1" s="151"/>
      <c r="I1" s="152"/>
      <c r="J1" s="29"/>
      <c r="K1" s="30"/>
      <c r="L1" s="30"/>
      <c r="M1" s="90"/>
      <c r="N1" s="30"/>
      <c r="O1" s="90"/>
      <c r="P1" s="30"/>
      <c r="Q1" s="30"/>
      <c r="R1" s="30"/>
      <c r="S1" s="31"/>
      <c r="T1" s="29"/>
      <c r="U1" s="30"/>
      <c r="V1" s="30"/>
      <c r="W1" s="30"/>
      <c r="X1" s="30"/>
      <c r="Y1" s="30"/>
      <c r="Z1" s="30"/>
      <c r="AA1" s="30"/>
      <c r="AB1" s="30"/>
      <c r="AC1" s="31"/>
      <c r="AD1" s="19"/>
      <c r="AE1" s="19"/>
      <c r="AF1" s="19"/>
      <c r="AG1" s="19"/>
      <c r="AH1" s="19"/>
      <c r="AI1" s="19"/>
    </row>
    <row r="2" spans="1:50" ht="13" x14ac:dyDescent="0.3">
      <c r="A2" s="153"/>
      <c r="B2" s="154"/>
      <c r="C2" s="154"/>
      <c r="D2" s="154"/>
      <c r="E2" s="154"/>
      <c r="F2" s="154"/>
      <c r="G2" s="154"/>
      <c r="H2" s="154"/>
      <c r="I2" s="155"/>
      <c r="J2" s="32"/>
      <c r="K2" s="19"/>
      <c r="L2" s="19"/>
      <c r="M2" s="19"/>
      <c r="N2" s="19"/>
      <c r="O2" s="19"/>
      <c r="P2" s="19"/>
      <c r="Q2" s="19"/>
      <c r="R2" s="19"/>
      <c r="S2" s="12"/>
      <c r="T2" s="32"/>
      <c r="U2" s="146"/>
      <c r="V2" s="146"/>
      <c r="W2" s="146"/>
      <c r="X2" s="146"/>
      <c r="Y2" s="146"/>
      <c r="Z2" s="146"/>
      <c r="AA2" s="146"/>
      <c r="AB2" s="146"/>
      <c r="AC2" s="12"/>
      <c r="AD2" s="19"/>
      <c r="AE2" s="19"/>
      <c r="AF2" s="19"/>
      <c r="AG2" s="19"/>
      <c r="AH2" s="19"/>
      <c r="AI2" s="19"/>
    </row>
    <row r="3" spans="1:50" x14ac:dyDescent="0.25">
      <c r="A3" s="156" t="s">
        <v>194</v>
      </c>
      <c r="B3" s="157"/>
      <c r="C3" s="157"/>
      <c r="D3" s="157"/>
      <c r="E3" s="157"/>
      <c r="F3" s="157"/>
      <c r="G3" s="157"/>
      <c r="H3" s="157"/>
      <c r="I3" s="158"/>
      <c r="J3" s="32"/>
      <c r="K3" s="19"/>
      <c r="L3" s="19"/>
      <c r="M3" s="33">
        <f>SUM(M6,M7,M8,M9,M10,M11,M20,M21,M23,M24,M26,M27,M28,M29,M30, M31,M32,M34,M35,M36)</f>
        <v>0</v>
      </c>
      <c r="N3" s="33">
        <f>SUM(N6,N7,N8,N9,N10,N11,N20,N21,N23,N24,N26,N27,N28,N29,N30, N31,N32,N34,N35,N36)</f>
        <v>0</v>
      </c>
      <c r="O3" s="33">
        <f>SUM(O6,O7,O8,O9,O10,O11,O20,O21,O23,O24,O26,O27,O28,O29,O30, O31,O32,O34,O35,O36)</f>
        <v>0</v>
      </c>
      <c r="P3" s="33">
        <f>SUM(P6,P7,P8,P9,P10,P11,P20,P21,P23,P24,P26,P27,P28,P29,P30, P31,P32,P34,P35,P36)</f>
        <v>0</v>
      </c>
      <c r="Q3" s="19"/>
      <c r="R3" s="19"/>
      <c r="S3" s="12"/>
      <c r="T3" s="32"/>
      <c r="U3" s="19"/>
      <c r="V3" s="34"/>
      <c r="W3" s="34"/>
      <c r="X3" s="34"/>
      <c r="Y3" s="34"/>
      <c r="Z3" s="34"/>
      <c r="AA3" s="34"/>
      <c r="AB3" s="34"/>
      <c r="AC3" s="12"/>
      <c r="AD3" s="19"/>
      <c r="AE3" s="19"/>
      <c r="AF3" s="19"/>
      <c r="AG3" s="19"/>
      <c r="AH3" s="19"/>
      <c r="AI3" s="19"/>
    </row>
    <row r="4" spans="1:50" ht="24.75" customHeight="1" x14ac:dyDescent="0.35">
      <c r="A4" s="35"/>
      <c r="B4" s="36" t="s">
        <v>164</v>
      </c>
      <c r="C4" s="161"/>
      <c r="D4" s="189"/>
      <c r="E4" s="189"/>
      <c r="F4" s="189"/>
      <c r="G4" s="189"/>
      <c r="H4" s="190"/>
      <c r="I4" s="12"/>
      <c r="J4" s="32"/>
      <c r="K4" s="19"/>
      <c r="L4" s="19"/>
      <c r="M4" s="36" t="s">
        <v>58</v>
      </c>
      <c r="N4" s="36" t="s">
        <v>58</v>
      </c>
      <c r="O4" s="36" t="s">
        <v>58</v>
      </c>
      <c r="P4" s="36" t="s">
        <v>58</v>
      </c>
      <c r="Q4" s="19"/>
      <c r="R4" s="19"/>
      <c r="S4" s="12"/>
      <c r="T4" s="32"/>
      <c r="U4" s="147" t="s">
        <v>170</v>
      </c>
      <c r="V4" s="147"/>
      <c r="W4" s="147"/>
      <c r="X4" s="147"/>
      <c r="Y4" s="147"/>
      <c r="Z4" s="147"/>
      <c r="AA4" s="147"/>
      <c r="AB4" s="147"/>
      <c r="AC4" s="37"/>
      <c r="AD4" s="19"/>
      <c r="AE4" s="19"/>
      <c r="AF4" s="19"/>
      <c r="AG4" s="19"/>
      <c r="AH4" s="19"/>
      <c r="AI4" s="19"/>
    </row>
    <row r="5" spans="1:50" ht="39.5" x14ac:dyDescent="0.35">
      <c r="A5" s="35"/>
      <c r="B5" s="38" t="s">
        <v>1</v>
      </c>
      <c r="C5" s="164"/>
      <c r="D5" s="189"/>
      <c r="E5" s="190"/>
      <c r="F5" s="39" t="s">
        <v>2</v>
      </c>
      <c r="G5" s="165"/>
      <c r="H5" s="191"/>
      <c r="I5" s="13"/>
      <c r="J5" s="32"/>
      <c r="K5" s="148" t="s">
        <v>20</v>
      </c>
      <c r="L5" s="149"/>
      <c r="M5" s="40" t="s">
        <v>39</v>
      </c>
      <c r="N5" s="40" t="s">
        <v>40</v>
      </c>
      <c r="O5" s="40" t="s">
        <v>41</v>
      </c>
      <c r="P5" s="40" t="s">
        <v>42</v>
      </c>
      <c r="Q5" s="19"/>
      <c r="R5" s="19"/>
      <c r="S5" s="12"/>
      <c r="T5" s="32"/>
      <c r="U5" s="19"/>
      <c r="V5" s="41" t="s">
        <v>165</v>
      </c>
      <c r="W5" s="41" t="s">
        <v>166</v>
      </c>
      <c r="X5" s="41" t="s">
        <v>167</v>
      </c>
      <c r="Y5" s="41" t="s">
        <v>168</v>
      </c>
      <c r="Z5" s="41" t="s">
        <v>169</v>
      </c>
      <c r="AA5" s="41" t="s">
        <v>123</v>
      </c>
      <c r="AB5" s="41" t="s">
        <v>165</v>
      </c>
      <c r="AC5" s="37"/>
      <c r="AD5" s="19"/>
      <c r="AE5" s="19"/>
      <c r="AF5" s="19"/>
      <c r="AG5" s="19"/>
      <c r="AH5" s="19"/>
      <c r="AI5" s="19"/>
      <c r="AK5" s="121"/>
      <c r="AL5" s="122" t="s">
        <v>20</v>
      </c>
      <c r="AM5" s="123" t="s">
        <v>96</v>
      </c>
      <c r="AN5" s="123" t="s">
        <v>97</v>
      </c>
      <c r="AO5" s="121"/>
      <c r="AP5" s="121"/>
      <c r="AQ5" s="121"/>
      <c r="AR5" s="121"/>
      <c r="AS5" s="121"/>
      <c r="AT5" s="121"/>
      <c r="AU5" s="121"/>
      <c r="AV5" s="121"/>
    </row>
    <row r="6" spans="1:50" ht="15.5" x14ac:dyDescent="0.35">
      <c r="A6" s="35"/>
      <c r="B6" s="42"/>
      <c r="C6" s="42"/>
      <c r="D6" s="42"/>
      <c r="E6" s="19"/>
      <c r="F6" s="19"/>
      <c r="G6" s="19"/>
      <c r="H6" s="19"/>
      <c r="I6" s="12"/>
      <c r="J6" s="32"/>
      <c r="K6" s="43" t="s">
        <v>24</v>
      </c>
      <c r="L6" s="39" t="s">
        <v>77</v>
      </c>
      <c r="M6" s="7">
        <v>0</v>
      </c>
      <c r="N6" s="7">
        <v>0</v>
      </c>
      <c r="O6" s="7">
        <v>0</v>
      </c>
      <c r="P6" s="7">
        <v>0</v>
      </c>
      <c r="Q6" s="19"/>
      <c r="R6" s="19"/>
      <c r="S6" s="12"/>
      <c r="T6" s="32"/>
      <c r="U6" s="139" t="s">
        <v>18</v>
      </c>
      <c r="V6" s="45">
        <f>SUM(23-(24*0.15))</f>
        <v>19.399999999999999</v>
      </c>
      <c r="W6" s="140">
        <f>SUM(F33)</f>
        <v>0</v>
      </c>
      <c r="X6" s="141">
        <v>12</v>
      </c>
      <c r="Y6" s="141">
        <v>2</v>
      </c>
      <c r="Z6" s="7">
        <v>0</v>
      </c>
      <c r="AA6" s="65">
        <f>SUM(Y6/1000)*(Z6)</f>
        <v>0</v>
      </c>
      <c r="AB6" s="65">
        <f>SUM(V6)-(AA6*W6)</f>
        <v>19.399999999999999</v>
      </c>
      <c r="AC6" s="12"/>
      <c r="AD6" s="19"/>
      <c r="AE6" s="19"/>
      <c r="AF6" s="19"/>
      <c r="AG6" s="19"/>
      <c r="AH6" s="19"/>
      <c r="AI6" s="19"/>
      <c r="AK6" s="121" t="s">
        <v>98</v>
      </c>
      <c r="AL6" s="121" t="s">
        <v>77</v>
      </c>
      <c r="AM6" s="121">
        <v>5.0000000000000001E-4</v>
      </c>
      <c r="AN6" s="121">
        <v>5.0000000000000001E-4</v>
      </c>
      <c r="AO6" s="121"/>
      <c r="AP6" s="121"/>
      <c r="AQ6" s="121"/>
      <c r="AR6" s="121"/>
      <c r="AS6" s="121" t="s">
        <v>139</v>
      </c>
      <c r="AT6" s="121">
        <v>8.3000000000000004E-2</v>
      </c>
      <c r="AU6" s="121"/>
      <c r="AV6" s="121"/>
      <c r="AX6" s="124"/>
    </row>
    <row r="7" spans="1:50" ht="15.5" x14ac:dyDescent="0.35">
      <c r="A7" s="32"/>
      <c r="B7" s="42"/>
      <c r="C7" s="19"/>
      <c r="D7" s="19"/>
      <c r="E7" s="19"/>
      <c r="F7" s="19"/>
      <c r="G7" s="19"/>
      <c r="H7" s="19"/>
      <c r="I7" s="12"/>
      <c r="J7" s="32"/>
      <c r="K7" s="43" t="s">
        <v>22</v>
      </c>
      <c r="L7" s="43" t="s">
        <v>75</v>
      </c>
      <c r="M7" s="1">
        <v>0</v>
      </c>
      <c r="N7" s="1">
        <v>0</v>
      </c>
      <c r="O7" s="1">
        <v>0</v>
      </c>
      <c r="P7" s="1">
        <v>0</v>
      </c>
      <c r="Q7" s="19"/>
      <c r="R7" s="19"/>
      <c r="S7" s="12"/>
      <c r="T7" s="32"/>
      <c r="U7" s="139" t="s">
        <v>19</v>
      </c>
      <c r="V7" s="45">
        <f>SUM(23-(24*0.15))</f>
        <v>19.399999999999999</v>
      </c>
      <c r="W7" s="66">
        <f>SUM(F34)</f>
        <v>0</v>
      </c>
      <c r="X7" s="141">
        <v>12</v>
      </c>
      <c r="Y7" s="141">
        <v>2</v>
      </c>
      <c r="Z7" s="7">
        <v>0</v>
      </c>
      <c r="AA7" s="65">
        <f>SUM(Y7/1000)*(Z7)</f>
        <v>0</v>
      </c>
      <c r="AB7" s="65">
        <f>SUM(V7)-(AA7*W7)</f>
        <v>19.399999999999999</v>
      </c>
      <c r="AC7" s="12"/>
      <c r="AD7" s="19"/>
      <c r="AE7" s="19"/>
      <c r="AF7" s="19"/>
      <c r="AG7" s="19"/>
      <c r="AH7" s="19"/>
      <c r="AI7" s="19"/>
      <c r="AK7" s="121" t="s">
        <v>99</v>
      </c>
      <c r="AL7" s="121" t="s">
        <v>75</v>
      </c>
      <c r="AM7" s="121">
        <v>5.0000000000000001E-4</v>
      </c>
      <c r="AN7" s="121">
        <v>5.0000000000000001E-4</v>
      </c>
      <c r="AO7" s="121"/>
      <c r="AP7" s="121"/>
      <c r="AQ7" s="121"/>
      <c r="AR7" s="121"/>
      <c r="AS7" s="121" t="s">
        <v>140</v>
      </c>
      <c r="AT7" s="121">
        <v>0.16700000000000001</v>
      </c>
      <c r="AU7" s="121"/>
      <c r="AV7" s="121"/>
      <c r="AX7" s="124"/>
    </row>
    <row r="8" spans="1:50" ht="13" x14ac:dyDescent="0.3">
      <c r="A8" s="32"/>
      <c r="B8" s="21"/>
      <c r="C8" s="39"/>
      <c r="D8" s="47" t="s">
        <v>153</v>
      </c>
      <c r="E8" s="36"/>
      <c r="F8" s="39"/>
      <c r="G8" s="47" t="s">
        <v>152</v>
      </c>
      <c r="H8" s="36"/>
      <c r="I8" s="14"/>
      <c r="J8" s="32"/>
      <c r="K8" s="43" t="s">
        <v>25</v>
      </c>
      <c r="L8" s="39" t="s">
        <v>78</v>
      </c>
      <c r="M8" s="1">
        <v>0</v>
      </c>
      <c r="N8" s="1">
        <v>0</v>
      </c>
      <c r="O8" s="1">
        <v>0</v>
      </c>
      <c r="P8" s="1">
        <v>0</v>
      </c>
      <c r="Q8" s="19"/>
      <c r="R8" s="19"/>
      <c r="S8" s="12"/>
      <c r="T8" s="32"/>
      <c r="U8" s="48"/>
      <c r="V8" s="49"/>
      <c r="W8" s="19"/>
      <c r="X8" s="49"/>
      <c r="Y8" s="49"/>
      <c r="Z8" s="50"/>
      <c r="AA8" s="19"/>
      <c r="AB8" s="19"/>
      <c r="AC8" s="12"/>
      <c r="AD8" s="19"/>
      <c r="AE8" s="19"/>
      <c r="AF8" s="19"/>
      <c r="AG8" s="19"/>
      <c r="AH8" s="19"/>
      <c r="AI8" s="19"/>
      <c r="AK8" s="121" t="s">
        <v>100</v>
      </c>
      <c r="AL8" s="121" t="s">
        <v>78</v>
      </c>
      <c r="AM8" s="121">
        <v>5.0000000000000001E-4</v>
      </c>
      <c r="AN8" s="121">
        <v>5.0000000000000001E-4</v>
      </c>
      <c r="AO8" s="121"/>
      <c r="AP8" s="121"/>
      <c r="AQ8" s="121"/>
      <c r="AR8" s="121"/>
      <c r="AS8" s="121" t="s">
        <v>141</v>
      </c>
      <c r="AT8" s="121">
        <v>0.25</v>
      </c>
      <c r="AU8" s="121"/>
      <c r="AV8" s="121"/>
      <c r="AX8" s="124"/>
    </row>
    <row r="9" spans="1:50" ht="13" x14ac:dyDescent="0.3">
      <c r="A9" s="32"/>
      <c r="B9" s="36" t="s">
        <v>5</v>
      </c>
      <c r="C9" s="47" t="s">
        <v>6</v>
      </c>
      <c r="D9" s="47" t="s">
        <v>7</v>
      </c>
      <c r="E9" s="47" t="s">
        <v>8</v>
      </c>
      <c r="F9" s="47" t="s">
        <v>6</v>
      </c>
      <c r="G9" s="47" t="s">
        <v>7</v>
      </c>
      <c r="H9" s="47" t="s">
        <v>8</v>
      </c>
      <c r="I9" s="15"/>
      <c r="J9" s="32"/>
      <c r="K9" s="43" t="s">
        <v>23</v>
      </c>
      <c r="L9" s="43" t="s">
        <v>76</v>
      </c>
      <c r="M9" s="1">
        <v>0</v>
      </c>
      <c r="N9" s="1">
        <v>0</v>
      </c>
      <c r="O9" s="1">
        <v>0</v>
      </c>
      <c r="P9" s="1">
        <v>0</v>
      </c>
      <c r="Q9" s="19"/>
      <c r="R9" s="19"/>
      <c r="S9" s="12"/>
      <c r="T9" s="32"/>
      <c r="U9" s="139" t="s">
        <v>18</v>
      </c>
      <c r="V9" s="45">
        <f>SUM(23-(24*0.15))</f>
        <v>19.399999999999999</v>
      </c>
      <c r="W9" s="140">
        <f>SUM(F33)</f>
        <v>0</v>
      </c>
      <c r="X9" s="141">
        <v>14</v>
      </c>
      <c r="Y9" s="141">
        <v>2.6</v>
      </c>
      <c r="Z9" s="102">
        <f>SUM(Z6)</f>
        <v>0</v>
      </c>
      <c r="AA9" s="65">
        <f>SUM(Y9/1000)*(Z9)</f>
        <v>0</v>
      </c>
      <c r="AB9" s="65">
        <f>SUM(V9)-(AA9*W9)</f>
        <v>19.399999999999999</v>
      </c>
      <c r="AC9" s="12"/>
      <c r="AD9" s="19"/>
      <c r="AE9" s="19"/>
      <c r="AF9" s="19"/>
      <c r="AG9" s="19"/>
      <c r="AH9" s="19"/>
      <c r="AI9" s="19"/>
      <c r="AK9" s="121" t="s">
        <v>101</v>
      </c>
      <c r="AL9" s="121" t="s">
        <v>76</v>
      </c>
      <c r="AM9" s="121">
        <v>4.0000000000000002E-4</v>
      </c>
      <c r="AN9" s="121">
        <v>4.0000000000000002E-4</v>
      </c>
      <c r="AO9" s="121"/>
      <c r="AP9" s="121"/>
      <c r="AQ9" s="121"/>
      <c r="AR9" s="121"/>
      <c r="AS9" s="121" t="s">
        <v>142</v>
      </c>
      <c r="AT9" s="121">
        <v>0.33400000000000002</v>
      </c>
      <c r="AU9" s="121"/>
      <c r="AV9" s="121"/>
      <c r="AX9" s="124"/>
    </row>
    <row r="10" spans="1:50" ht="13" x14ac:dyDescent="0.3">
      <c r="A10" s="32"/>
      <c r="B10" s="52" t="s">
        <v>17</v>
      </c>
      <c r="C10" s="4">
        <v>0.11</v>
      </c>
      <c r="D10" s="8">
        <v>1</v>
      </c>
      <c r="E10" s="4">
        <f t="shared" ref="E10:E18" si="0">C10*D10</f>
        <v>0.11</v>
      </c>
      <c r="F10" s="4">
        <v>0.19500000000000001</v>
      </c>
      <c r="G10" s="8">
        <v>1</v>
      </c>
      <c r="H10" s="4">
        <f t="shared" ref="H10:H15" si="1">F10*G10</f>
        <v>0.19500000000000001</v>
      </c>
      <c r="I10" s="16"/>
      <c r="J10" s="32"/>
      <c r="K10" s="43" t="s">
        <v>154</v>
      </c>
      <c r="L10" s="53" t="s">
        <v>155</v>
      </c>
      <c r="M10" s="1">
        <v>0</v>
      </c>
      <c r="N10" s="1">
        <v>0</v>
      </c>
      <c r="O10" s="1">
        <v>0</v>
      </c>
      <c r="P10" s="1">
        <v>0</v>
      </c>
      <c r="Q10" s="19"/>
      <c r="R10" s="19"/>
      <c r="S10" s="12"/>
      <c r="T10" s="32"/>
      <c r="U10" s="139" t="s">
        <v>19</v>
      </c>
      <c r="V10" s="45">
        <f>SUM(23-(24*0.15))</f>
        <v>19.399999999999999</v>
      </c>
      <c r="W10" s="66">
        <f>SUM(F34)</f>
        <v>0</v>
      </c>
      <c r="X10" s="141">
        <v>14</v>
      </c>
      <c r="Y10" s="141">
        <v>2.6</v>
      </c>
      <c r="Z10" s="102">
        <f>SUM(Z7)</f>
        <v>0</v>
      </c>
      <c r="AA10" s="65">
        <f>SUM(Y10/1000)*(Z10)</f>
        <v>0</v>
      </c>
      <c r="AB10" s="65">
        <f>SUM(V10)-(AA10*W10)</f>
        <v>19.399999999999999</v>
      </c>
      <c r="AC10" s="12"/>
      <c r="AD10" s="19"/>
      <c r="AE10" s="19"/>
      <c r="AF10" s="19"/>
      <c r="AG10" s="19"/>
      <c r="AH10" s="19"/>
      <c r="AI10" s="19"/>
      <c r="AK10" s="121" t="s">
        <v>102</v>
      </c>
      <c r="AL10" s="121" t="s">
        <v>154</v>
      </c>
      <c r="AM10" s="121">
        <v>3.4000000000000002E-4</v>
      </c>
      <c r="AN10" s="121">
        <v>3.4000000000000002E-4</v>
      </c>
      <c r="AO10" s="121"/>
      <c r="AP10" s="121"/>
      <c r="AQ10" s="121"/>
      <c r="AR10" s="121"/>
      <c r="AS10" s="121" t="s">
        <v>143</v>
      </c>
      <c r="AT10" s="121">
        <v>0.41699999999999998</v>
      </c>
      <c r="AU10" s="121"/>
      <c r="AV10" s="121"/>
      <c r="AX10" s="124"/>
    </row>
    <row r="11" spans="1:50" ht="13" x14ac:dyDescent="0.3">
      <c r="A11" s="32"/>
      <c r="B11" s="25" t="s">
        <v>178</v>
      </c>
      <c r="C11" s="4">
        <f>VLOOKUP(B11,AL49:AN51,2,FALSE)</f>
        <v>0</v>
      </c>
      <c r="D11" s="8">
        <v>1</v>
      </c>
      <c r="E11" s="4">
        <f t="shared" si="0"/>
        <v>0</v>
      </c>
      <c r="F11" s="4">
        <f>VLOOKUP(B11,AL49:AN51,3,FALSE)</f>
        <v>0</v>
      </c>
      <c r="G11" s="8">
        <v>1</v>
      </c>
      <c r="H11" s="4">
        <f>F11*G11</f>
        <v>0</v>
      </c>
      <c r="I11" s="16"/>
      <c r="J11" s="32"/>
      <c r="K11" s="43" t="s">
        <v>181</v>
      </c>
      <c r="L11" s="43" t="s">
        <v>182</v>
      </c>
      <c r="M11" s="1">
        <v>0</v>
      </c>
      <c r="N11" s="1">
        <v>0</v>
      </c>
      <c r="O11" s="1">
        <v>0</v>
      </c>
      <c r="P11" s="1">
        <v>0</v>
      </c>
      <c r="Q11" s="19"/>
      <c r="R11" s="19"/>
      <c r="S11" s="12"/>
      <c r="T11" s="32"/>
      <c r="U11" s="48"/>
      <c r="V11" s="49"/>
      <c r="W11" s="19"/>
      <c r="X11" s="49"/>
      <c r="Y11" s="49"/>
      <c r="Z11" s="50"/>
      <c r="AA11" s="19"/>
      <c r="AB11" s="19"/>
      <c r="AC11" s="12"/>
      <c r="AD11" s="19"/>
      <c r="AE11" s="19"/>
      <c r="AF11" s="19"/>
      <c r="AG11" s="19"/>
      <c r="AH11" s="19"/>
      <c r="AI11" s="19"/>
      <c r="AK11" s="121" t="s">
        <v>103</v>
      </c>
      <c r="AL11" s="121" t="s">
        <v>182</v>
      </c>
      <c r="AM11" s="121">
        <v>4.0000000000000002E-4</v>
      </c>
      <c r="AN11" s="121">
        <v>4.0000000000000002E-4</v>
      </c>
      <c r="AO11" s="121"/>
      <c r="AP11" s="121"/>
      <c r="AQ11" s="121"/>
      <c r="AR11" s="121"/>
      <c r="AS11" s="121" t="s">
        <v>144</v>
      </c>
      <c r="AT11" s="121">
        <v>0.5</v>
      </c>
      <c r="AU11" s="121"/>
      <c r="AV11" s="121"/>
      <c r="AX11" s="124"/>
    </row>
    <row r="12" spans="1:50" ht="13" x14ac:dyDescent="0.3">
      <c r="A12" s="32"/>
      <c r="B12" s="52" t="s">
        <v>173</v>
      </c>
      <c r="C12" s="4">
        <f>M43</f>
        <v>0</v>
      </c>
      <c r="D12" s="54">
        <v>1.25</v>
      </c>
      <c r="E12" s="4">
        <f t="shared" si="0"/>
        <v>0</v>
      </c>
      <c r="F12" s="4">
        <f>M44</f>
        <v>0</v>
      </c>
      <c r="G12" s="54">
        <v>1.25</v>
      </c>
      <c r="H12" s="4">
        <f t="shared" si="1"/>
        <v>0</v>
      </c>
      <c r="I12" s="16"/>
      <c r="J12" s="32"/>
      <c r="K12" s="185" t="str">
        <f>SUM(M11*AN12+(N11*AN12)+(O11*AN12)+(P11*AN12))&amp;" Amp"&amp;"    Required 24VDC Sounder Base Power"</f>
        <v>0 Amp    Required 24VDC Sounder Base Power</v>
      </c>
      <c r="L12" s="186"/>
      <c r="M12" s="8"/>
      <c r="N12" s="8"/>
      <c r="O12" s="8"/>
      <c r="P12" s="8"/>
      <c r="Q12" s="19"/>
      <c r="R12" s="19"/>
      <c r="S12" s="12"/>
      <c r="T12" s="32"/>
      <c r="U12" s="139" t="s">
        <v>18</v>
      </c>
      <c r="V12" s="45">
        <f>SUM(23-(24*0.15))</f>
        <v>19.399999999999999</v>
      </c>
      <c r="W12" s="140">
        <f>SUM(F33)</f>
        <v>0</v>
      </c>
      <c r="X12" s="141">
        <v>16</v>
      </c>
      <c r="Y12" s="141">
        <v>4.2</v>
      </c>
      <c r="Z12" s="102">
        <f>SUM(Z6)</f>
        <v>0</v>
      </c>
      <c r="AA12" s="65">
        <f>SUM(Y12/1000)*(Z12)</f>
        <v>0</v>
      </c>
      <c r="AB12" s="65">
        <f>SUM(V12)-(AA12*W12)</f>
        <v>19.399999999999999</v>
      </c>
      <c r="AC12" s="12"/>
      <c r="AD12" s="19"/>
      <c r="AE12" s="19"/>
      <c r="AF12" s="19"/>
      <c r="AG12" s="19"/>
      <c r="AH12" s="19"/>
      <c r="AI12" s="19"/>
      <c r="AK12" s="121" t="s">
        <v>104</v>
      </c>
      <c r="AL12" s="121" t="s">
        <v>210</v>
      </c>
      <c r="AM12" s="121"/>
      <c r="AN12" s="121">
        <v>3.3000000000000002E-2</v>
      </c>
      <c r="AO12" s="121"/>
      <c r="AP12" s="121"/>
      <c r="AQ12" s="121"/>
      <c r="AR12" s="121"/>
      <c r="AS12" s="121" t="s">
        <v>145</v>
      </c>
      <c r="AT12" s="121">
        <v>0.58399999999999996</v>
      </c>
      <c r="AU12" s="121"/>
      <c r="AV12" s="121"/>
      <c r="AX12" s="124"/>
    </row>
    <row r="13" spans="1:50" ht="13" x14ac:dyDescent="0.3">
      <c r="A13" s="32"/>
      <c r="B13" s="52" t="s">
        <v>172</v>
      </c>
      <c r="C13" s="4">
        <f>N43</f>
        <v>0</v>
      </c>
      <c r="D13" s="54">
        <v>1.25</v>
      </c>
      <c r="E13" s="4">
        <f t="shared" si="0"/>
        <v>0</v>
      </c>
      <c r="F13" s="4">
        <f>N44</f>
        <v>0</v>
      </c>
      <c r="G13" s="54">
        <v>1.25</v>
      </c>
      <c r="H13" s="4">
        <f t="shared" si="1"/>
        <v>0</v>
      </c>
      <c r="I13" s="16"/>
      <c r="J13" s="32"/>
      <c r="K13" s="167" t="s">
        <v>21</v>
      </c>
      <c r="L13" s="149"/>
      <c r="M13" s="8"/>
      <c r="N13" s="8"/>
      <c r="O13" s="8"/>
      <c r="P13" s="8"/>
      <c r="Q13" s="19"/>
      <c r="R13" s="19"/>
      <c r="S13" s="12"/>
      <c r="T13" s="32"/>
      <c r="U13" s="139" t="s">
        <v>19</v>
      </c>
      <c r="V13" s="45">
        <f>SUM(23-(24*0.15))</f>
        <v>19.399999999999999</v>
      </c>
      <c r="W13" s="66">
        <f>SUM(F34)</f>
        <v>0</v>
      </c>
      <c r="X13" s="141">
        <v>16</v>
      </c>
      <c r="Y13" s="141">
        <v>4.2</v>
      </c>
      <c r="Z13" s="102">
        <f>SUM(Z7)</f>
        <v>0</v>
      </c>
      <c r="AA13" s="65">
        <f>SUM(Y13/1000)*(Z13)</f>
        <v>0</v>
      </c>
      <c r="AB13" s="65">
        <f>SUM(V13)-(AA13*W13)</f>
        <v>19.399999999999999</v>
      </c>
      <c r="AC13" s="12"/>
      <c r="AD13" s="19"/>
      <c r="AE13" s="19"/>
      <c r="AF13" s="19"/>
      <c r="AG13" s="19"/>
      <c r="AH13" s="19"/>
      <c r="AI13" s="19"/>
      <c r="AJ13" s="124"/>
      <c r="AK13" s="121" t="s">
        <v>208</v>
      </c>
      <c r="AL13" s="122" t="s">
        <v>21</v>
      </c>
      <c r="AM13" s="121"/>
      <c r="AN13" s="121"/>
      <c r="AO13" s="121"/>
      <c r="AP13" s="121"/>
      <c r="AQ13" s="121"/>
      <c r="AR13" s="121"/>
      <c r="AS13" s="121" t="s">
        <v>146</v>
      </c>
      <c r="AT13" s="121">
        <v>0.66700000000000004</v>
      </c>
      <c r="AU13" s="121"/>
      <c r="AV13" s="121"/>
      <c r="AX13" s="124"/>
    </row>
    <row r="14" spans="1:50" ht="13" x14ac:dyDescent="0.3">
      <c r="A14" s="32"/>
      <c r="B14" s="52" t="s">
        <v>174</v>
      </c>
      <c r="C14" s="4">
        <f>O43</f>
        <v>0</v>
      </c>
      <c r="D14" s="54">
        <v>1.25</v>
      </c>
      <c r="E14" s="4">
        <f t="shared" si="0"/>
        <v>0</v>
      </c>
      <c r="F14" s="4">
        <f>O44</f>
        <v>0</v>
      </c>
      <c r="G14" s="54">
        <v>1.25</v>
      </c>
      <c r="H14" s="4">
        <f t="shared" si="1"/>
        <v>0</v>
      </c>
      <c r="I14" s="16"/>
      <c r="J14" s="32"/>
      <c r="K14" s="39" t="s">
        <v>37</v>
      </c>
      <c r="L14" s="39" t="s">
        <v>38</v>
      </c>
      <c r="M14" s="1">
        <v>0</v>
      </c>
      <c r="N14" s="1">
        <v>0</v>
      </c>
      <c r="O14" s="1">
        <v>0</v>
      </c>
      <c r="P14" s="1">
        <v>0</v>
      </c>
      <c r="Q14" s="19"/>
      <c r="R14" s="19"/>
      <c r="S14" s="12"/>
      <c r="T14" s="32"/>
      <c r="U14" s="48"/>
      <c r="V14" s="49"/>
      <c r="W14" s="19"/>
      <c r="X14" s="49"/>
      <c r="Y14" s="49"/>
      <c r="Z14" s="50"/>
      <c r="AA14" s="19"/>
      <c r="AB14" s="19"/>
      <c r="AC14" s="12"/>
      <c r="AD14" s="19"/>
      <c r="AE14" s="19"/>
      <c r="AF14" s="19"/>
      <c r="AG14" s="19"/>
      <c r="AH14" s="19"/>
      <c r="AI14" s="19"/>
      <c r="AK14" s="121" t="s">
        <v>105</v>
      </c>
      <c r="AL14" s="121" t="s">
        <v>38</v>
      </c>
      <c r="AM14" s="121"/>
      <c r="AN14" s="121"/>
      <c r="AO14" s="121"/>
      <c r="AP14" s="121"/>
      <c r="AQ14" s="121"/>
      <c r="AR14" s="121"/>
      <c r="AS14" s="121" t="s">
        <v>147</v>
      </c>
      <c r="AT14" s="121">
        <v>0.75</v>
      </c>
      <c r="AU14" s="121"/>
      <c r="AV14" s="121"/>
      <c r="AX14" s="124"/>
    </row>
    <row r="15" spans="1:50" ht="13" x14ac:dyDescent="0.3">
      <c r="A15" s="32"/>
      <c r="B15" s="52" t="s">
        <v>175</v>
      </c>
      <c r="C15" s="4">
        <f>P43</f>
        <v>0</v>
      </c>
      <c r="D15" s="54">
        <v>1.25</v>
      </c>
      <c r="E15" s="4">
        <f t="shared" si="0"/>
        <v>0</v>
      </c>
      <c r="F15" s="4">
        <f>P44</f>
        <v>0</v>
      </c>
      <c r="G15" s="54">
        <v>1.25</v>
      </c>
      <c r="H15" s="4">
        <f t="shared" si="1"/>
        <v>0</v>
      </c>
      <c r="I15" s="16"/>
      <c r="J15" s="32"/>
      <c r="K15" s="43" t="s">
        <v>212</v>
      </c>
      <c r="L15" s="43" t="s">
        <v>200</v>
      </c>
      <c r="M15" s="1">
        <v>0</v>
      </c>
      <c r="N15" s="1">
        <v>0</v>
      </c>
      <c r="O15" s="1">
        <v>0</v>
      </c>
      <c r="P15" s="1">
        <v>0</v>
      </c>
      <c r="Q15" s="19"/>
      <c r="R15" s="19"/>
      <c r="S15" s="12"/>
      <c r="T15" s="32"/>
      <c r="U15" s="139" t="s">
        <v>18</v>
      </c>
      <c r="V15" s="45">
        <f>SUM(23-(24*0.15))</f>
        <v>19.399999999999999</v>
      </c>
      <c r="W15" s="140">
        <f>SUM(F33)</f>
        <v>0</v>
      </c>
      <c r="X15" s="141">
        <v>18</v>
      </c>
      <c r="Y15" s="141">
        <v>6.5</v>
      </c>
      <c r="Z15" s="102">
        <f>SUM(Z6)</f>
        <v>0</v>
      </c>
      <c r="AA15" s="65">
        <f>SUM(Y15/1000)*(Z15)</f>
        <v>0</v>
      </c>
      <c r="AB15" s="65">
        <f>SUM(V15)-(AA15*W15)</f>
        <v>19.399999999999999</v>
      </c>
      <c r="AC15" s="12"/>
      <c r="AD15" s="19"/>
      <c r="AE15" s="19"/>
      <c r="AF15" s="19"/>
      <c r="AG15" s="19"/>
      <c r="AH15" s="19"/>
      <c r="AI15" s="19"/>
      <c r="AK15" s="121" t="s">
        <v>106</v>
      </c>
      <c r="AL15" s="121" t="s">
        <v>124</v>
      </c>
      <c r="AM15" s="121"/>
      <c r="AN15" s="121">
        <v>5.0000000000000001E-3</v>
      </c>
      <c r="AO15" s="121"/>
      <c r="AP15" s="121"/>
      <c r="AQ15" s="121"/>
      <c r="AR15" s="121"/>
      <c r="AS15" s="121" t="s">
        <v>148</v>
      </c>
      <c r="AT15" s="121">
        <v>0.83399999999999996</v>
      </c>
      <c r="AU15" s="121"/>
      <c r="AV15" s="121"/>
      <c r="AX15" s="124"/>
    </row>
    <row r="16" spans="1:50" ht="13" x14ac:dyDescent="0.3">
      <c r="A16" s="32"/>
      <c r="B16" s="25" t="s">
        <v>171</v>
      </c>
      <c r="C16" s="4">
        <f>VLOOKUP(B16,AL43:AQ45,2,FALSE)</f>
        <v>0</v>
      </c>
      <c r="D16" s="8">
        <f>VLOOKUP(B16,AL43:AO45,4,FALSE)</f>
        <v>0</v>
      </c>
      <c r="E16" s="4">
        <f t="shared" si="0"/>
        <v>0</v>
      </c>
      <c r="F16" s="4">
        <f>VLOOKUP(B16,AL43:AQ45,3,FALSE)</f>
        <v>0</v>
      </c>
      <c r="G16" s="3">
        <f>D16</f>
        <v>0</v>
      </c>
      <c r="H16" s="4">
        <f>F16*G16</f>
        <v>0</v>
      </c>
      <c r="I16" s="16"/>
      <c r="J16" s="32"/>
      <c r="K16" s="43" t="s">
        <v>198</v>
      </c>
      <c r="L16" s="58" t="s">
        <v>215</v>
      </c>
      <c r="M16" s="1">
        <v>0</v>
      </c>
      <c r="N16" s="1">
        <v>0</v>
      </c>
      <c r="O16" s="1">
        <v>0</v>
      </c>
      <c r="P16" s="1">
        <v>0</v>
      </c>
      <c r="Q16" s="19"/>
      <c r="R16" s="19"/>
      <c r="S16" s="12"/>
      <c r="T16" s="32"/>
      <c r="U16" s="139" t="s">
        <v>19</v>
      </c>
      <c r="V16" s="45">
        <f>SUM(23-(24*0.15))</f>
        <v>19.399999999999999</v>
      </c>
      <c r="W16" s="66">
        <f>SUM(F34)</f>
        <v>0</v>
      </c>
      <c r="X16" s="141">
        <v>18</v>
      </c>
      <c r="Y16" s="141">
        <v>6.5</v>
      </c>
      <c r="Z16" s="102">
        <f>SUM(Z7)</f>
        <v>0</v>
      </c>
      <c r="AA16" s="65">
        <f>SUM(Y16/1000)*(Z16)</f>
        <v>0</v>
      </c>
      <c r="AB16" s="65">
        <f>SUM(V16)-(AA16*W16)</f>
        <v>19.399999999999999</v>
      </c>
      <c r="AC16" s="12"/>
      <c r="AD16" s="19"/>
      <c r="AE16" s="19"/>
      <c r="AF16" s="19"/>
      <c r="AG16" s="19"/>
      <c r="AH16" s="19"/>
      <c r="AI16" s="19"/>
      <c r="AJ16" s="124"/>
      <c r="AK16" s="121" t="s">
        <v>207</v>
      </c>
      <c r="AL16" s="125" t="s">
        <v>199</v>
      </c>
      <c r="AM16" s="121">
        <v>1.4999999999999999E-4</v>
      </c>
      <c r="AN16" s="121"/>
      <c r="AO16" s="121"/>
      <c r="AP16" s="121"/>
      <c r="AQ16" s="121"/>
      <c r="AR16" s="121"/>
      <c r="AS16" s="121" t="s">
        <v>149</v>
      </c>
      <c r="AT16" s="121">
        <v>0.91700000000000004</v>
      </c>
      <c r="AU16" s="121"/>
      <c r="AV16" s="121"/>
      <c r="AX16" s="124"/>
    </row>
    <row r="17" spans="1:50" x14ac:dyDescent="0.25">
      <c r="A17" s="32"/>
      <c r="B17" s="52" t="s">
        <v>130</v>
      </c>
      <c r="C17" s="4">
        <v>7.8E-2</v>
      </c>
      <c r="D17" s="2">
        <v>0</v>
      </c>
      <c r="E17" s="4">
        <f t="shared" si="0"/>
        <v>0</v>
      </c>
      <c r="F17" s="4">
        <v>0.14000000000000001</v>
      </c>
      <c r="G17" s="3">
        <f>D17</f>
        <v>0</v>
      </c>
      <c r="H17" s="4">
        <f t="shared" ref="H17:H25" si="2">F17*G17</f>
        <v>0</v>
      </c>
      <c r="I17" s="16"/>
      <c r="J17" s="32"/>
      <c r="K17" s="185" t="str">
        <f>SUM(M16*AN17+(N16*AN17)+(O16*AN17)+(P16*AN17))&amp;" Amp"&amp;"    Required 24VDC Sounder Base Power"</f>
        <v>0 Amp    Required 24VDC Sounder Base Power</v>
      </c>
      <c r="L17" s="186"/>
      <c r="M17" s="8"/>
      <c r="N17" s="8"/>
      <c r="O17" s="8"/>
      <c r="P17" s="8"/>
      <c r="Q17" s="19"/>
      <c r="R17" s="19"/>
      <c r="S17" s="12"/>
      <c r="T17" s="32"/>
      <c r="U17" s="19"/>
      <c r="V17" s="19"/>
      <c r="W17" s="19"/>
      <c r="X17" s="19"/>
      <c r="Y17" s="19"/>
      <c r="Z17" s="19"/>
      <c r="AA17" s="19"/>
      <c r="AB17" s="19"/>
      <c r="AC17" s="12"/>
      <c r="AD17" s="19"/>
      <c r="AE17" s="19"/>
      <c r="AF17" s="19"/>
      <c r="AG17" s="19"/>
      <c r="AH17" s="19"/>
      <c r="AI17" s="19"/>
      <c r="AJ17" s="124"/>
      <c r="AK17" s="121" t="s">
        <v>209</v>
      </c>
      <c r="AL17" s="121" t="s">
        <v>210</v>
      </c>
      <c r="AM17" s="121"/>
      <c r="AN17" s="121">
        <v>1.7000000000000001E-2</v>
      </c>
      <c r="AO17" s="121"/>
      <c r="AP17" s="121"/>
      <c r="AQ17" s="121"/>
      <c r="AR17" s="121"/>
      <c r="AS17" s="121" t="s">
        <v>150</v>
      </c>
      <c r="AT17" s="121">
        <v>1</v>
      </c>
      <c r="AU17" s="121"/>
      <c r="AV17" s="121"/>
      <c r="AX17" s="124"/>
    </row>
    <row r="18" spans="1:50" x14ac:dyDescent="0.25">
      <c r="A18" s="32"/>
      <c r="B18" s="52" t="s">
        <v>131</v>
      </c>
      <c r="C18" s="4">
        <v>0.109</v>
      </c>
      <c r="D18" s="2">
        <v>0</v>
      </c>
      <c r="E18" s="4">
        <f t="shared" si="0"/>
        <v>0</v>
      </c>
      <c r="F18" s="4">
        <v>0.125</v>
      </c>
      <c r="G18" s="3">
        <f t="shared" ref="G18:G25" si="3">D18</f>
        <v>0</v>
      </c>
      <c r="H18" s="4">
        <f t="shared" si="2"/>
        <v>0</v>
      </c>
      <c r="I18" s="16"/>
      <c r="J18" s="32"/>
      <c r="K18" s="39" t="s">
        <v>35</v>
      </c>
      <c r="L18" s="39" t="s">
        <v>36</v>
      </c>
      <c r="M18" s="1">
        <v>0</v>
      </c>
      <c r="N18" s="1">
        <v>0</v>
      </c>
      <c r="O18" s="1">
        <v>0</v>
      </c>
      <c r="P18" s="1">
        <v>0</v>
      </c>
      <c r="Q18" s="19"/>
      <c r="R18" s="19"/>
      <c r="S18" s="12"/>
      <c r="T18" s="32"/>
      <c r="U18" s="19"/>
      <c r="V18" s="19"/>
      <c r="W18" s="19"/>
      <c r="X18" s="19"/>
      <c r="Y18" s="19"/>
      <c r="Z18" s="19"/>
      <c r="AA18" s="19"/>
      <c r="AB18" s="19"/>
      <c r="AC18" s="12"/>
      <c r="AD18" s="19"/>
      <c r="AE18" s="19"/>
      <c r="AF18" s="19"/>
      <c r="AG18" s="19"/>
      <c r="AH18" s="19"/>
      <c r="AI18" s="19"/>
      <c r="AJ18" s="124"/>
      <c r="AK18" s="121" t="s">
        <v>125</v>
      </c>
      <c r="AL18" s="121" t="s">
        <v>36</v>
      </c>
      <c r="AM18" s="121">
        <v>9.9999999999999995E-7</v>
      </c>
      <c r="AN18" s="121">
        <v>4.0000000000000003E-5</v>
      </c>
      <c r="AO18" s="121"/>
      <c r="AP18" s="121"/>
      <c r="AQ18" s="121"/>
      <c r="AR18" s="121"/>
      <c r="AS18" s="121"/>
      <c r="AT18" s="121"/>
      <c r="AU18" s="121"/>
      <c r="AV18" s="121"/>
    </row>
    <row r="19" spans="1:50" ht="13" x14ac:dyDescent="0.3">
      <c r="A19" s="32"/>
      <c r="B19" s="52" t="s">
        <v>45</v>
      </c>
      <c r="C19" s="59"/>
      <c r="D19" s="59"/>
      <c r="E19" s="59"/>
      <c r="F19" s="4">
        <v>6.5000000000000002E-2</v>
      </c>
      <c r="G19" s="26">
        <v>0</v>
      </c>
      <c r="H19" s="4">
        <f t="shared" si="2"/>
        <v>0</v>
      </c>
      <c r="I19" s="16"/>
      <c r="J19" s="32"/>
      <c r="K19" s="39" t="s">
        <v>30</v>
      </c>
      <c r="L19" s="39" t="s">
        <v>85</v>
      </c>
      <c r="M19" s="1">
        <v>0</v>
      </c>
      <c r="N19" s="1">
        <v>0</v>
      </c>
      <c r="O19" s="1">
        <v>0</v>
      </c>
      <c r="P19" s="1">
        <v>0</v>
      </c>
      <c r="Q19" s="19"/>
      <c r="R19" s="19"/>
      <c r="S19" s="12"/>
      <c r="T19" s="32"/>
      <c r="U19" s="139" t="s">
        <v>176</v>
      </c>
      <c r="V19" s="45">
        <f>SUM(23-(24*0.15))</f>
        <v>19.399999999999999</v>
      </c>
      <c r="W19" s="140">
        <f>SUM(F35)</f>
        <v>0</v>
      </c>
      <c r="X19" s="141">
        <v>12</v>
      </c>
      <c r="Y19" s="141">
        <v>2</v>
      </c>
      <c r="Z19" s="7">
        <v>0</v>
      </c>
      <c r="AA19" s="65">
        <f>SUM(Y19/1000)*(Z19)</f>
        <v>0</v>
      </c>
      <c r="AB19" s="65">
        <f>SUM(V19)-(AA19*W19)</f>
        <v>19.399999999999999</v>
      </c>
      <c r="AC19" s="12"/>
      <c r="AD19" s="19"/>
      <c r="AE19" s="19"/>
      <c r="AF19" s="19"/>
      <c r="AG19" s="19"/>
      <c r="AH19" s="19"/>
      <c r="AI19" s="19"/>
      <c r="AJ19" s="124"/>
      <c r="AK19" s="121" t="s">
        <v>126</v>
      </c>
      <c r="AL19" s="121" t="s">
        <v>85</v>
      </c>
      <c r="AM19" s="121">
        <v>3.4999999999999997E-5</v>
      </c>
      <c r="AN19" s="121">
        <v>3.4999999999999997E-5</v>
      </c>
      <c r="AO19" s="121"/>
      <c r="AP19" s="121"/>
      <c r="AQ19" s="121"/>
      <c r="AR19" s="121"/>
      <c r="AS19" s="121"/>
      <c r="AT19" s="121"/>
      <c r="AU19" s="121"/>
      <c r="AV19" s="121"/>
    </row>
    <row r="20" spans="1:50" ht="13" x14ac:dyDescent="0.3">
      <c r="A20" s="32"/>
      <c r="B20" s="52" t="s">
        <v>51</v>
      </c>
      <c r="C20" s="4">
        <v>1.0999999999999999E-2</v>
      </c>
      <c r="D20" s="2">
        <v>0</v>
      </c>
      <c r="E20" s="4">
        <f t="shared" ref="E20:E25" si="4">C20*D20</f>
        <v>0</v>
      </c>
      <c r="F20" s="4">
        <v>0.06</v>
      </c>
      <c r="G20" s="3">
        <f t="shared" si="3"/>
        <v>0</v>
      </c>
      <c r="H20" s="4">
        <f t="shared" si="2"/>
        <v>0</v>
      </c>
      <c r="I20" s="16"/>
      <c r="J20" s="32"/>
      <c r="K20" s="43" t="s">
        <v>81</v>
      </c>
      <c r="L20" s="43" t="s">
        <v>80</v>
      </c>
      <c r="M20" s="1">
        <v>0</v>
      </c>
      <c r="N20" s="1">
        <v>0</v>
      </c>
      <c r="O20" s="1">
        <v>0</v>
      </c>
      <c r="P20" s="1">
        <v>0</v>
      </c>
      <c r="Q20" s="19"/>
      <c r="R20" s="19"/>
      <c r="S20" s="12"/>
      <c r="T20" s="32"/>
      <c r="U20" s="139" t="s">
        <v>177</v>
      </c>
      <c r="V20" s="45">
        <f>SUM(23-(24*0.15))</f>
        <v>19.399999999999999</v>
      </c>
      <c r="W20" s="66">
        <f>SUM(F36)</f>
        <v>0</v>
      </c>
      <c r="X20" s="141">
        <v>12</v>
      </c>
      <c r="Y20" s="141">
        <v>2</v>
      </c>
      <c r="Z20" s="7">
        <v>0</v>
      </c>
      <c r="AA20" s="65">
        <f>SUM(Y20/1000)*(Z20)</f>
        <v>0</v>
      </c>
      <c r="AB20" s="65">
        <f>SUM(V20)-(AA20*W20)</f>
        <v>19.399999999999999</v>
      </c>
      <c r="AC20" s="12"/>
      <c r="AD20" s="19"/>
      <c r="AE20" s="19"/>
      <c r="AF20" s="19"/>
      <c r="AG20" s="19"/>
      <c r="AH20" s="19"/>
      <c r="AI20" s="19"/>
      <c r="AJ20" s="124"/>
      <c r="AK20" s="121" t="s">
        <v>127</v>
      </c>
      <c r="AL20" s="121" t="s">
        <v>94</v>
      </c>
      <c r="AM20" s="121">
        <v>8.9999999999999998E-4</v>
      </c>
      <c r="AN20" s="121">
        <v>8.7500000000000008E-3</v>
      </c>
      <c r="AO20" s="121"/>
      <c r="AP20" s="121"/>
      <c r="AQ20" s="121"/>
      <c r="AR20" s="121"/>
      <c r="AS20" s="121" t="s">
        <v>236</v>
      </c>
      <c r="AT20" s="121">
        <v>48</v>
      </c>
      <c r="AU20" s="121"/>
      <c r="AV20" s="121"/>
    </row>
    <row r="21" spans="1:50" ht="13" x14ac:dyDescent="0.3">
      <c r="A21" s="32"/>
      <c r="B21" s="52" t="s">
        <v>52</v>
      </c>
      <c r="C21" s="4">
        <v>1.0999999999999999E-2</v>
      </c>
      <c r="D21" s="2">
        <v>0</v>
      </c>
      <c r="E21" s="4">
        <f t="shared" si="4"/>
        <v>0</v>
      </c>
      <c r="F21" s="4">
        <v>0.06</v>
      </c>
      <c r="G21" s="3">
        <f t="shared" si="3"/>
        <v>0</v>
      </c>
      <c r="H21" s="4">
        <f t="shared" si="2"/>
        <v>0</v>
      </c>
      <c r="I21" s="16"/>
      <c r="J21" s="32"/>
      <c r="K21" s="43" t="s">
        <v>82</v>
      </c>
      <c r="L21" s="43" t="s">
        <v>83</v>
      </c>
      <c r="M21" s="1">
        <v>0</v>
      </c>
      <c r="N21" s="1">
        <v>0</v>
      </c>
      <c r="O21" s="1">
        <v>0</v>
      </c>
      <c r="P21" s="1">
        <v>0</v>
      </c>
      <c r="Q21" s="19"/>
      <c r="R21" s="19"/>
      <c r="S21" s="12"/>
      <c r="T21" s="32"/>
      <c r="U21" s="48"/>
      <c r="V21" s="49"/>
      <c r="W21" s="19"/>
      <c r="X21" s="49"/>
      <c r="Y21" s="49"/>
      <c r="Z21" s="50"/>
      <c r="AA21" s="19"/>
      <c r="AB21" s="19"/>
      <c r="AC21" s="12"/>
      <c r="AD21" s="19"/>
      <c r="AE21" s="19"/>
      <c r="AF21" s="19"/>
      <c r="AG21" s="19"/>
      <c r="AH21" s="19"/>
      <c r="AI21" s="19"/>
      <c r="AJ21" s="124"/>
      <c r="AK21" s="121" t="s">
        <v>107</v>
      </c>
      <c r="AL21" s="121" t="s">
        <v>95</v>
      </c>
      <c r="AM21" s="121">
        <v>1.2999999999999999E-3</v>
      </c>
      <c r="AN21" s="121">
        <v>1.048E-2</v>
      </c>
      <c r="AO21" s="121"/>
      <c r="AP21" s="121"/>
      <c r="AQ21" s="121"/>
      <c r="AR21" s="121"/>
      <c r="AS21" s="121"/>
      <c r="AT21" s="121"/>
      <c r="AU21" s="121"/>
      <c r="AV21" s="121"/>
    </row>
    <row r="22" spans="1:50" ht="13" x14ac:dyDescent="0.3">
      <c r="A22" s="32"/>
      <c r="B22" s="52" t="s">
        <v>72</v>
      </c>
      <c r="C22" s="59"/>
      <c r="D22" s="59"/>
      <c r="E22" s="59"/>
      <c r="F22" s="4">
        <v>0.13</v>
      </c>
      <c r="G22" s="27">
        <v>0</v>
      </c>
      <c r="H22" s="4">
        <f t="shared" si="2"/>
        <v>0</v>
      </c>
      <c r="I22" s="16"/>
      <c r="J22" s="32"/>
      <c r="K22" s="148" t="s">
        <v>196</v>
      </c>
      <c r="L22" s="149"/>
      <c r="M22" s="8"/>
      <c r="N22" s="8"/>
      <c r="O22" s="8"/>
      <c r="P22" s="8"/>
      <c r="Q22" s="19"/>
      <c r="R22" s="19"/>
      <c r="S22" s="12"/>
      <c r="T22" s="32"/>
      <c r="U22" s="139" t="s">
        <v>176</v>
      </c>
      <c r="V22" s="45">
        <f>SUM(23-(24*0.15))</f>
        <v>19.399999999999999</v>
      </c>
      <c r="W22" s="140">
        <f>SUM(F35)</f>
        <v>0</v>
      </c>
      <c r="X22" s="141">
        <v>14</v>
      </c>
      <c r="Y22" s="141">
        <v>2.6</v>
      </c>
      <c r="Z22" s="102">
        <f>SUM(Z19)</f>
        <v>0</v>
      </c>
      <c r="AA22" s="65">
        <f>SUM(Y22/1000)*(Z22)</f>
        <v>0</v>
      </c>
      <c r="AB22" s="65">
        <f>SUM(V22)-(AA22*W22)</f>
        <v>19.399999999999999</v>
      </c>
      <c r="AC22" s="12"/>
      <c r="AD22" s="19"/>
      <c r="AE22" s="19"/>
      <c r="AF22" s="19"/>
      <c r="AG22" s="19"/>
      <c r="AH22" s="19"/>
      <c r="AI22" s="19"/>
      <c r="AJ22" s="124"/>
      <c r="AK22" s="121" t="s">
        <v>128</v>
      </c>
      <c r="AL22" s="122" t="s">
        <v>196</v>
      </c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</row>
    <row r="23" spans="1:50" ht="13" x14ac:dyDescent="0.3">
      <c r="A23" s="32"/>
      <c r="B23" s="52" t="s">
        <v>53</v>
      </c>
      <c r="C23" s="4">
        <v>0.22</v>
      </c>
      <c r="D23" s="2">
        <v>0</v>
      </c>
      <c r="E23" s="4">
        <f>C23*D23</f>
        <v>0</v>
      </c>
      <c r="F23" s="4">
        <v>0.1</v>
      </c>
      <c r="G23" s="3">
        <f>D23</f>
        <v>0</v>
      </c>
      <c r="H23" s="4">
        <f t="shared" si="2"/>
        <v>0</v>
      </c>
      <c r="I23" s="16"/>
      <c r="J23" s="32"/>
      <c r="K23" s="43" t="s">
        <v>213</v>
      </c>
      <c r="L23" s="39" t="s">
        <v>90</v>
      </c>
      <c r="M23" s="1">
        <v>0</v>
      </c>
      <c r="N23" s="1">
        <v>0</v>
      </c>
      <c r="O23" s="1">
        <v>0</v>
      </c>
      <c r="P23" s="1">
        <v>0</v>
      </c>
      <c r="Q23" s="19"/>
      <c r="R23" s="19"/>
      <c r="S23" s="12"/>
      <c r="T23" s="32"/>
      <c r="U23" s="139" t="s">
        <v>177</v>
      </c>
      <c r="V23" s="45">
        <f>SUM(23-(24*0.15))</f>
        <v>19.399999999999999</v>
      </c>
      <c r="W23" s="66">
        <f>SUM(F36)</f>
        <v>0</v>
      </c>
      <c r="X23" s="141">
        <v>14</v>
      </c>
      <c r="Y23" s="141">
        <v>2.6</v>
      </c>
      <c r="Z23" s="102">
        <f>SUM(Z20)</f>
        <v>0</v>
      </c>
      <c r="AA23" s="65">
        <f>SUM(Y23/1000)*(Z23)</f>
        <v>0</v>
      </c>
      <c r="AB23" s="65">
        <f>SUM(V23)-(AA23*W23)</f>
        <v>19.399999999999999</v>
      </c>
      <c r="AC23" s="12"/>
      <c r="AD23" s="19"/>
      <c r="AE23" s="19"/>
      <c r="AF23" s="19"/>
      <c r="AG23" s="19"/>
      <c r="AH23" s="19"/>
      <c r="AI23" s="19"/>
      <c r="AJ23" s="124"/>
      <c r="AK23" s="121" t="s">
        <v>108</v>
      </c>
      <c r="AL23" s="121" t="s">
        <v>90</v>
      </c>
      <c r="AM23" s="121">
        <v>1.6999999999999999E-3</v>
      </c>
      <c r="AN23" s="121">
        <v>2.7000000000000001E-3</v>
      </c>
      <c r="AO23" s="121"/>
      <c r="AP23" s="121"/>
      <c r="AQ23" s="121"/>
      <c r="AR23" s="121"/>
      <c r="AS23" s="121"/>
      <c r="AT23" s="121"/>
      <c r="AU23" s="121"/>
      <c r="AV23" s="121"/>
    </row>
    <row r="24" spans="1:50" ht="13" x14ac:dyDescent="0.3">
      <c r="A24" s="32"/>
      <c r="B24" s="52" t="s">
        <v>133</v>
      </c>
      <c r="C24" s="4">
        <v>0</v>
      </c>
      <c r="D24" s="2">
        <v>0</v>
      </c>
      <c r="E24" s="4">
        <v>0</v>
      </c>
      <c r="F24" s="4">
        <v>0</v>
      </c>
      <c r="G24" s="3">
        <f t="shared" si="3"/>
        <v>0</v>
      </c>
      <c r="H24" s="4">
        <f t="shared" si="2"/>
        <v>0</v>
      </c>
      <c r="I24" s="16"/>
      <c r="J24" s="32"/>
      <c r="K24" s="43" t="s">
        <v>185</v>
      </c>
      <c r="L24" s="43" t="s">
        <v>184</v>
      </c>
      <c r="M24" s="1">
        <v>0</v>
      </c>
      <c r="N24" s="1">
        <v>0</v>
      </c>
      <c r="O24" s="1">
        <v>0</v>
      </c>
      <c r="P24" s="1">
        <v>0</v>
      </c>
      <c r="Q24" s="19"/>
      <c r="R24" s="19"/>
      <c r="S24" s="12"/>
      <c r="T24" s="32"/>
      <c r="U24" s="48"/>
      <c r="V24" s="49"/>
      <c r="W24" s="19"/>
      <c r="X24" s="49"/>
      <c r="Y24" s="49"/>
      <c r="Z24" s="50"/>
      <c r="AA24" s="19"/>
      <c r="AB24" s="19"/>
      <c r="AC24" s="12"/>
      <c r="AD24" s="19"/>
      <c r="AE24" s="19"/>
      <c r="AF24" s="19"/>
      <c r="AG24" s="19"/>
      <c r="AH24" s="19"/>
      <c r="AI24" s="19"/>
      <c r="AJ24" s="124"/>
      <c r="AK24" s="121" t="s">
        <v>109</v>
      </c>
      <c r="AL24" s="121" t="s">
        <v>184</v>
      </c>
      <c r="AM24" s="121">
        <v>2.0000000000000001E-4</v>
      </c>
      <c r="AN24" s="121">
        <v>3.8E-3</v>
      </c>
      <c r="AO24" s="121"/>
      <c r="AP24" s="121"/>
      <c r="AQ24" s="121"/>
      <c r="AR24" s="121"/>
      <c r="AS24" s="121"/>
      <c r="AT24" s="121"/>
      <c r="AU24" s="121"/>
      <c r="AV24" s="121"/>
    </row>
    <row r="25" spans="1:50" ht="13" x14ac:dyDescent="0.3">
      <c r="A25" s="32"/>
      <c r="B25" s="25" t="s">
        <v>137</v>
      </c>
      <c r="C25" s="4">
        <f>VLOOKUP(B25,AL54:AN56,2,FALSE)</f>
        <v>0</v>
      </c>
      <c r="D25" s="8">
        <f>VLOOKUP(B25,AL54:AO56,4,FALSE)</f>
        <v>0</v>
      </c>
      <c r="E25" s="4">
        <f t="shared" si="4"/>
        <v>0</v>
      </c>
      <c r="F25" s="4">
        <f>VLOOKUP(B25,AL54:AN56,3,FALSE)</f>
        <v>0</v>
      </c>
      <c r="G25" s="3">
        <f t="shared" si="3"/>
        <v>0</v>
      </c>
      <c r="H25" s="4">
        <f t="shared" si="2"/>
        <v>0</v>
      </c>
      <c r="I25" s="16"/>
      <c r="J25" s="32"/>
      <c r="K25" s="148" t="s">
        <v>27</v>
      </c>
      <c r="L25" s="149"/>
      <c r="M25" s="8"/>
      <c r="N25" s="8"/>
      <c r="O25" s="8"/>
      <c r="P25" s="8"/>
      <c r="Q25" s="19"/>
      <c r="R25" s="19"/>
      <c r="S25" s="12"/>
      <c r="T25" s="32"/>
      <c r="U25" s="139" t="s">
        <v>176</v>
      </c>
      <c r="V25" s="45">
        <f>SUM(23-(24*0.15))</f>
        <v>19.399999999999999</v>
      </c>
      <c r="W25" s="140">
        <f>SUM(F35)</f>
        <v>0</v>
      </c>
      <c r="X25" s="141">
        <v>16</v>
      </c>
      <c r="Y25" s="141">
        <v>4.2</v>
      </c>
      <c r="Z25" s="102">
        <f>SUM(Z19)</f>
        <v>0</v>
      </c>
      <c r="AA25" s="65">
        <f>SUM(Y25/1000)*(Z25)</f>
        <v>0</v>
      </c>
      <c r="AB25" s="65">
        <f>SUM(V25)-(AA25*W25)</f>
        <v>19.399999999999999</v>
      </c>
      <c r="AC25" s="12"/>
      <c r="AD25" s="19"/>
      <c r="AE25" s="19"/>
      <c r="AF25" s="19"/>
      <c r="AG25" s="19"/>
      <c r="AH25" s="19"/>
      <c r="AI25" s="19"/>
      <c r="AJ25" s="124"/>
      <c r="AK25" s="121" t="s">
        <v>110</v>
      </c>
      <c r="AL25" s="122" t="s">
        <v>27</v>
      </c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</row>
    <row r="26" spans="1:50" ht="13" x14ac:dyDescent="0.3">
      <c r="A26" s="32"/>
      <c r="B26" s="52" t="s">
        <v>161</v>
      </c>
      <c r="C26" s="4">
        <v>0.12</v>
      </c>
      <c r="D26" s="2">
        <v>0</v>
      </c>
      <c r="E26" s="4">
        <f>C26*D26</f>
        <v>0</v>
      </c>
      <c r="F26" s="4">
        <v>0.3</v>
      </c>
      <c r="G26" s="3">
        <f>D26</f>
        <v>0</v>
      </c>
      <c r="H26" s="4">
        <f>F26*G26</f>
        <v>0</v>
      </c>
      <c r="I26" s="16"/>
      <c r="J26" s="32"/>
      <c r="K26" s="39" t="s">
        <v>201</v>
      </c>
      <c r="L26" s="39" t="s">
        <v>202</v>
      </c>
      <c r="M26" s="1">
        <v>0</v>
      </c>
      <c r="N26" s="1">
        <v>0</v>
      </c>
      <c r="O26" s="1">
        <v>0</v>
      </c>
      <c r="P26" s="1">
        <v>0</v>
      </c>
      <c r="Q26" s="19"/>
      <c r="R26" s="19"/>
      <c r="S26" s="12"/>
      <c r="T26" s="32"/>
      <c r="U26" s="139" t="s">
        <v>177</v>
      </c>
      <c r="V26" s="45">
        <f>SUM(23-(24*0.15))</f>
        <v>19.399999999999999</v>
      </c>
      <c r="W26" s="66">
        <f>SUM(F36)</f>
        <v>0</v>
      </c>
      <c r="X26" s="141">
        <v>16</v>
      </c>
      <c r="Y26" s="141">
        <v>4.2</v>
      </c>
      <c r="Z26" s="102">
        <f>SUM(Z20)</f>
        <v>0</v>
      </c>
      <c r="AA26" s="65">
        <f>SUM(Y26/1000)*(Z26)</f>
        <v>0</v>
      </c>
      <c r="AB26" s="65">
        <f>SUM(V26)-(AA26*W26)</f>
        <v>19.399999999999999</v>
      </c>
      <c r="AC26" s="12"/>
      <c r="AD26" s="19"/>
      <c r="AE26" s="19"/>
      <c r="AF26" s="19"/>
      <c r="AG26" s="19"/>
      <c r="AH26" s="19"/>
      <c r="AI26" s="19"/>
      <c r="AJ26" s="124"/>
      <c r="AK26" s="121" t="s">
        <v>197</v>
      </c>
      <c r="AL26" s="121" t="s">
        <v>202</v>
      </c>
      <c r="AM26" s="121">
        <v>5.9999999999999995E-4</v>
      </c>
      <c r="AN26" s="121">
        <v>5.9999999999999995E-4</v>
      </c>
      <c r="AO26" s="121"/>
      <c r="AP26" s="121"/>
      <c r="AQ26" s="121"/>
      <c r="AR26" s="121"/>
      <c r="AS26" s="121"/>
      <c r="AT26" s="121"/>
      <c r="AU26" s="121"/>
      <c r="AV26" s="121"/>
    </row>
    <row r="27" spans="1:50" ht="13" x14ac:dyDescent="0.3">
      <c r="A27" s="32"/>
      <c r="B27" s="129"/>
      <c r="C27" s="130"/>
      <c r="D27" s="132"/>
      <c r="E27" s="130"/>
      <c r="F27" s="130"/>
      <c r="G27" s="133"/>
      <c r="H27" s="130"/>
      <c r="I27" s="16"/>
      <c r="J27" s="32"/>
      <c r="K27" s="39" t="s">
        <v>33</v>
      </c>
      <c r="L27" s="39" t="s">
        <v>205</v>
      </c>
      <c r="M27" s="1">
        <v>0</v>
      </c>
      <c r="N27" s="1">
        <v>0</v>
      </c>
      <c r="O27" s="1">
        <v>0</v>
      </c>
      <c r="P27" s="1">
        <v>0</v>
      </c>
      <c r="Q27" s="19"/>
      <c r="R27" s="19"/>
      <c r="S27" s="12"/>
      <c r="T27" s="32"/>
      <c r="U27" s="48"/>
      <c r="V27" s="49"/>
      <c r="W27" s="19"/>
      <c r="X27" s="49"/>
      <c r="Y27" s="49"/>
      <c r="Z27" s="50"/>
      <c r="AA27" s="19"/>
      <c r="AB27" s="19"/>
      <c r="AC27" s="12"/>
      <c r="AD27" s="19"/>
      <c r="AE27" s="19"/>
      <c r="AF27" s="19"/>
      <c r="AG27" s="19"/>
      <c r="AH27" s="19"/>
      <c r="AI27" s="19"/>
      <c r="AJ27" s="124"/>
      <c r="AK27" s="121" t="s">
        <v>111</v>
      </c>
      <c r="AL27" s="121" t="s">
        <v>205</v>
      </c>
      <c r="AM27" s="121">
        <v>5.9999999999999995E-4</v>
      </c>
      <c r="AN27" s="121">
        <v>5.0000000000000001E-3</v>
      </c>
      <c r="AO27" s="121"/>
      <c r="AP27" s="121"/>
      <c r="AQ27" s="121"/>
      <c r="AR27" s="121"/>
      <c r="AS27" s="121"/>
      <c r="AT27" s="121"/>
      <c r="AU27" s="121"/>
      <c r="AV27" s="121"/>
    </row>
    <row r="28" spans="1:50" ht="13" x14ac:dyDescent="0.3">
      <c r="A28" s="32"/>
      <c r="B28" s="129"/>
      <c r="C28" s="130"/>
      <c r="D28" s="132"/>
      <c r="E28" s="130"/>
      <c r="F28" s="130"/>
      <c r="G28" s="133"/>
      <c r="H28" s="130"/>
      <c r="I28" s="16"/>
      <c r="J28" s="32"/>
      <c r="K28" s="43" t="s">
        <v>57</v>
      </c>
      <c r="L28" s="43" t="s">
        <v>88</v>
      </c>
      <c r="M28" s="1">
        <v>0</v>
      </c>
      <c r="N28" s="1">
        <v>0</v>
      </c>
      <c r="O28" s="1">
        <v>0</v>
      </c>
      <c r="P28" s="1">
        <v>0</v>
      </c>
      <c r="Q28" s="19"/>
      <c r="R28" s="19"/>
      <c r="S28" s="12"/>
      <c r="T28" s="32"/>
      <c r="U28" s="139" t="s">
        <v>176</v>
      </c>
      <c r="V28" s="45">
        <f>SUM(23-(24*0.15))</f>
        <v>19.399999999999999</v>
      </c>
      <c r="W28" s="140">
        <f>SUM(F35)</f>
        <v>0</v>
      </c>
      <c r="X28" s="141">
        <v>18</v>
      </c>
      <c r="Y28" s="141">
        <v>6.5</v>
      </c>
      <c r="Z28" s="102">
        <f>SUM(Z19)</f>
        <v>0</v>
      </c>
      <c r="AA28" s="65">
        <f>SUM(Y28/1000)*(Z28)</f>
        <v>0</v>
      </c>
      <c r="AB28" s="65">
        <f>SUM(V28)-(AA28*W28)</f>
        <v>19.399999999999999</v>
      </c>
      <c r="AC28" s="12"/>
      <c r="AD28" s="19"/>
      <c r="AE28" s="19"/>
      <c r="AF28" s="19"/>
      <c r="AG28" s="19"/>
      <c r="AH28" s="19"/>
      <c r="AI28" s="19"/>
      <c r="AJ28" s="124"/>
      <c r="AK28" s="121" t="s">
        <v>129</v>
      </c>
      <c r="AL28" s="121" t="s">
        <v>88</v>
      </c>
      <c r="AM28" s="121">
        <v>2.0000000000000001E-4</v>
      </c>
      <c r="AN28" s="121">
        <v>3.5999999999999999E-3</v>
      </c>
      <c r="AO28" s="121"/>
      <c r="AP28" s="121"/>
      <c r="AQ28" s="121"/>
      <c r="AR28" s="121"/>
      <c r="AS28" s="121"/>
      <c r="AT28" s="121"/>
      <c r="AU28" s="121"/>
      <c r="AV28" s="121"/>
    </row>
    <row r="29" spans="1:50" ht="13" x14ac:dyDescent="0.3">
      <c r="A29" s="32"/>
      <c r="B29" s="129"/>
      <c r="C29" s="130"/>
      <c r="D29" s="132"/>
      <c r="E29" s="130"/>
      <c r="F29" s="130"/>
      <c r="G29" s="133"/>
      <c r="H29" s="130"/>
      <c r="I29" s="16"/>
      <c r="J29" s="32"/>
      <c r="K29" s="39" t="s">
        <v>31</v>
      </c>
      <c r="L29" s="39" t="s">
        <v>86</v>
      </c>
      <c r="M29" s="1">
        <v>0</v>
      </c>
      <c r="N29" s="1">
        <v>0</v>
      </c>
      <c r="O29" s="1">
        <v>0</v>
      </c>
      <c r="P29" s="1">
        <v>0</v>
      </c>
      <c r="Q29" s="19"/>
      <c r="R29" s="19"/>
      <c r="S29" s="12"/>
      <c r="T29" s="32"/>
      <c r="U29" s="139" t="s">
        <v>177</v>
      </c>
      <c r="V29" s="45">
        <f>SUM(23-(24*0.15))</f>
        <v>19.399999999999999</v>
      </c>
      <c r="W29" s="66">
        <f>SUM(F36)</f>
        <v>0</v>
      </c>
      <c r="X29" s="141">
        <v>18</v>
      </c>
      <c r="Y29" s="141">
        <v>6.5</v>
      </c>
      <c r="Z29" s="102">
        <f>SUM(Z20)</f>
        <v>0</v>
      </c>
      <c r="AA29" s="65">
        <f>SUM(Y29/1000)*(Z29)</f>
        <v>0</v>
      </c>
      <c r="AB29" s="65">
        <f>SUM(V29)-(AA29*W29)</f>
        <v>19.399999999999999</v>
      </c>
      <c r="AC29" s="12"/>
      <c r="AD29" s="19"/>
      <c r="AE29" s="19"/>
      <c r="AF29" s="19"/>
      <c r="AG29" s="19"/>
      <c r="AH29" s="19"/>
      <c r="AI29" s="19"/>
      <c r="AK29" s="121" t="s">
        <v>112</v>
      </c>
      <c r="AL29" s="121" t="s">
        <v>86</v>
      </c>
      <c r="AM29" s="121">
        <v>8.4999999999999995E-4</v>
      </c>
      <c r="AN29" s="121">
        <v>8.4999999999999995E-4</v>
      </c>
      <c r="AO29" s="121"/>
      <c r="AP29" s="121"/>
      <c r="AQ29" s="121"/>
      <c r="AR29" s="121"/>
      <c r="AS29" s="121"/>
      <c r="AT29" s="121"/>
      <c r="AU29" s="121"/>
      <c r="AV29" s="121"/>
    </row>
    <row r="30" spans="1:50" x14ac:dyDescent="0.25">
      <c r="A30" s="32"/>
      <c r="B30" s="52" t="s">
        <v>46</v>
      </c>
      <c r="C30" s="5">
        <v>0</v>
      </c>
      <c r="D30" s="8"/>
      <c r="E30" s="4">
        <f>C30</f>
        <v>0</v>
      </c>
      <c r="F30" s="5">
        <v>0</v>
      </c>
      <c r="G30" s="8"/>
      <c r="H30" s="4">
        <f>F30</f>
        <v>0</v>
      </c>
      <c r="I30" s="16"/>
      <c r="J30" s="32"/>
      <c r="K30" s="39" t="s">
        <v>34</v>
      </c>
      <c r="L30" s="39" t="s">
        <v>89</v>
      </c>
      <c r="M30" s="1">
        <v>0</v>
      </c>
      <c r="N30" s="1">
        <v>0</v>
      </c>
      <c r="O30" s="1">
        <v>0</v>
      </c>
      <c r="P30" s="1">
        <v>0</v>
      </c>
      <c r="Q30" s="19"/>
      <c r="R30" s="19"/>
      <c r="S30" s="12"/>
      <c r="T30" s="32"/>
      <c r="U30" s="19"/>
      <c r="V30" s="19"/>
      <c r="W30" s="19"/>
      <c r="X30" s="19"/>
      <c r="Y30" s="19"/>
      <c r="Z30" s="19"/>
      <c r="AA30" s="19"/>
      <c r="AB30" s="19"/>
      <c r="AC30" s="12"/>
      <c r="AD30" s="19"/>
      <c r="AE30" s="19"/>
      <c r="AF30" s="19"/>
      <c r="AG30" s="19"/>
      <c r="AH30" s="19"/>
      <c r="AI30" s="19"/>
      <c r="AK30" s="121" t="s">
        <v>113</v>
      </c>
      <c r="AL30" s="121" t="s">
        <v>89</v>
      </c>
      <c r="AM30" s="121">
        <v>8.4999999999999995E-4</v>
      </c>
      <c r="AN30" s="121">
        <v>3.5000000000000001E-3</v>
      </c>
      <c r="AO30" s="121"/>
      <c r="AP30" s="121"/>
      <c r="AQ30" s="121"/>
      <c r="AR30" s="121"/>
      <c r="AS30" s="121"/>
      <c r="AT30" s="121"/>
      <c r="AU30" s="121"/>
      <c r="AV30" s="121"/>
    </row>
    <row r="31" spans="1:50" x14ac:dyDescent="0.25">
      <c r="A31" s="32"/>
      <c r="B31" s="52" t="s">
        <v>159</v>
      </c>
      <c r="C31" s="62">
        <f>IF(AM41&lt;=0.5,AM41,"Exceeds Current")</f>
        <v>0</v>
      </c>
      <c r="D31" s="8"/>
      <c r="E31" s="4"/>
      <c r="F31" s="4"/>
      <c r="G31" s="8"/>
      <c r="H31" s="4"/>
      <c r="I31" s="16"/>
      <c r="J31" s="32"/>
      <c r="K31" s="39" t="s">
        <v>203</v>
      </c>
      <c r="L31" s="43" t="s">
        <v>222</v>
      </c>
      <c r="M31" s="1">
        <v>0</v>
      </c>
      <c r="N31" s="1">
        <v>0</v>
      </c>
      <c r="O31" s="1">
        <v>0</v>
      </c>
      <c r="P31" s="1">
        <v>0</v>
      </c>
      <c r="Q31" s="19"/>
      <c r="R31" s="19"/>
      <c r="S31" s="12"/>
      <c r="T31" s="32"/>
      <c r="U31" s="19" t="s">
        <v>224</v>
      </c>
      <c r="V31" s="19"/>
      <c r="W31" s="19"/>
      <c r="X31" s="19"/>
      <c r="Y31" s="19"/>
      <c r="Z31" s="19"/>
      <c r="AA31" s="19"/>
      <c r="AB31" s="19"/>
      <c r="AC31" s="12"/>
      <c r="AD31" s="19"/>
      <c r="AE31" s="19"/>
      <c r="AF31" s="19"/>
      <c r="AG31" s="19"/>
      <c r="AH31" s="19"/>
      <c r="AI31" s="19"/>
      <c r="AK31" s="121" t="s">
        <v>114</v>
      </c>
      <c r="AL31" s="121" t="s">
        <v>204</v>
      </c>
      <c r="AM31" s="121">
        <v>9.5E-4</v>
      </c>
      <c r="AN31" s="121">
        <v>3.0000000000000001E-3</v>
      </c>
      <c r="AO31" s="121"/>
      <c r="AP31" s="121"/>
      <c r="AQ31" s="121"/>
      <c r="AR31" s="121"/>
      <c r="AS31" s="121"/>
      <c r="AT31" s="121"/>
      <c r="AU31" s="121"/>
      <c r="AV31" s="121"/>
    </row>
    <row r="32" spans="1:50" x14ac:dyDescent="0.25">
      <c r="A32" s="32"/>
      <c r="B32" s="52" t="s">
        <v>160</v>
      </c>
      <c r="C32" s="5">
        <v>0</v>
      </c>
      <c r="D32" s="8"/>
      <c r="E32" s="4">
        <f>C32</f>
        <v>0</v>
      </c>
      <c r="F32" s="5">
        <v>0</v>
      </c>
      <c r="G32" s="8"/>
      <c r="H32" s="4">
        <f>F32</f>
        <v>0</v>
      </c>
      <c r="I32" s="16"/>
      <c r="J32" s="32"/>
      <c r="K32" s="39" t="s">
        <v>32</v>
      </c>
      <c r="L32" s="39" t="s">
        <v>87</v>
      </c>
      <c r="M32" s="1">
        <v>0</v>
      </c>
      <c r="N32" s="1">
        <v>0</v>
      </c>
      <c r="O32" s="1">
        <v>0</v>
      </c>
      <c r="P32" s="1">
        <v>0</v>
      </c>
      <c r="Q32" s="19"/>
      <c r="R32" s="19"/>
      <c r="S32" s="12"/>
      <c r="T32" s="32"/>
      <c r="U32" s="19" t="s">
        <v>225</v>
      </c>
      <c r="V32" s="19"/>
      <c r="W32" s="19"/>
      <c r="X32" s="19"/>
      <c r="Y32" s="19"/>
      <c r="Z32" s="19"/>
      <c r="AA32" s="19"/>
      <c r="AB32" s="19"/>
      <c r="AC32" s="12"/>
      <c r="AD32" s="19"/>
      <c r="AE32" s="19"/>
      <c r="AF32" s="19"/>
      <c r="AG32" s="19"/>
      <c r="AH32" s="19"/>
      <c r="AI32" s="19"/>
      <c r="AK32" s="121" t="s">
        <v>115</v>
      </c>
      <c r="AL32" s="121" t="s">
        <v>87</v>
      </c>
      <c r="AM32" s="121">
        <v>1E-3</v>
      </c>
      <c r="AN32" s="121">
        <v>1E-3</v>
      </c>
      <c r="AO32" s="121"/>
      <c r="AP32" s="121"/>
      <c r="AQ32" s="121"/>
      <c r="AR32" s="121"/>
      <c r="AS32" s="121"/>
      <c r="AT32" s="121"/>
      <c r="AU32" s="121"/>
      <c r="AV32" s="121"/>
    </row>
    <row r="33" spans="1:48" ht="13" x14ac:dyDescent="0.3">
      <c r="A33" s="32"/>
      <c r="B33" s="52" t="s">
        <v>18</v>
      </c>
      <c r="C33" s="59"/>
      <c r="D33" s="59"/>
      <c r="E33" s="59"/>
      <c r="F33" s="5">
        <v>0</v>
      </c>
      <c r="G33" s="8"/>
      <c r="H33" s="4">
        <f>F33</f>
        <v>0</v>
      </c>
      <c r="I33" s="16"/>
      <c r="J33" s="32"/>
      <c r="K33" s="148" t="s">
        <v>211</v>
      </c>
      <c r="L33" s="149"/>
      <c r="M33" s="8"/>
      <c r="N33" s="8"/>
      <c r="O33" s="8"/>
      <c r="P33" s="8"/>
      <c r="Q33" s="19"/>
      <c r="R33" s="19"/>
      <c r="S33" s="12"/>
      <c r="T33" s="32"/>
      <c r="U33" s="19"/>
      <c r="V33" s="19"/>
      <c r="W33" s="19"/>
      <c r="X33" s="19"/>
      <c r="Y33" s="19"/>
      <c r="Z33" s="19"/>
      <c r="AA33" s="19"/>
      <c r="AB33" s="19"/>
      <c r="AC33" s="12"/>
      <c r="AD33" s="19"/>
      <c r="AE33" s="19"/>
      <c r="AF33" s="19"/>
      <c r="AG33" s="19"/>
      <c r="AH33" s="19"/>
      <c r="AI33" s="19"/>
      <c r="AK33" s="121" t="s">
        <v>116</v>
      </c>
      <c r="AL33" s="126" t="s">
        <v>211</v>
      </c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</row>
    <row r="34" spans="1:48" x14ac:dyDescent="0.25">
      <c r="A34" s="32"/>
      <c r="B34" s="52" t="s">
        <v>19</v>
      </c>
      <c r="C34" s="59"/>
      <c r="D34" s="59"/>
      <c r="E34" s="59"/>
      <c r="F34" s="5">
        <v>0</v>
      </c>
      <c r="G34" s="8"/>
      <c r="H34" s="4">
        <f>F34</f>
        <v>0</v>
      </c>
      <c r="I34" s="16"/>
      <c r="J34" s="32"/>
      <c r="K34" s="43" t="s">
        <v>55</v>
      </c>
      <c r="L34" s="43" t="s">
        <v>73</v>
      </c>
      <c r="M34" s="6">
        <v>0</v>
      </c>
      <c r="N34" s="6">
        <v>0</v>
      </c>
      <c r="O34" s="6">
        <v>0</v>
      </c>
      <c r="P34" s="6">
        <v>0</v>
      </c>
      <c r="Q34" s="19"/>
      <c r="R34" s="19"/>
      <c r="S34" s="12"/>
      <c r="T34" s="32"/>
      <c r="U34" s="19"/>
      <c r="V34" s="19"/>
      <c r="W34" s="19"/>
      <c r="X34" s="19"/>
      <c r="Y34" s="19"/>
      <c r="Z34" s="19"/>
      <c r="AA34" s="19"/>
      <c r="AB34" s="19"/>
      <c r="AC34" s="12"/>
      <c r="AD34" s="19"/>
      <c r="AE34" s="19"/>
      <c r="AF34" s="19"/>
      <c r="AG34" s="19"/>
      <c r="AH34" s="19"/>
      <c r="AI34" s="19"/>
      <c r="AK34" s="121" t="s">
        <v>117</v>
      </c>
      <c r="AL34" s="121" t="s">
        <v>92</v>
      </c>
      <c r="AM34" s="121">
        <v>3.1E-4</v>
      </c>
      <c r="AN34" s="121">
        <v>6.0000000000000001E-3</v>
      </c>
      <c r="AO34" s="121"/>
      <c r="AP34" s="121"/>
      <c r="AQ34" s="121"/>
      <c r="AR34" s="121"/>
      <c r="AS34" s="121"/>
      <c r="AT34" s="121"/>
      <c r="AU34" s="121"/>
      <c r="AV34" s="121"/>
    </row>
    <row r="35" spans="1:48" x14ac:dyDescent="0.25">
      <c r="A35" s="32"/>
      <c r="B35" s="52" t="s">
        <v>176</v>
      </c>
      <c r="C35" s="59"/>
      <c r="D35" s="59"/>
      <c r="E35" s="59"/>
      <c r="F35" s="5">
        <v>0</v>
      </c>
      <c r="G35" s="8"/>
      <c r="H35" s="4">
        <f>F35</f>
        <v>0</v>
      </c>
      <c r="I35" s="16"/>
      <c r="J35" s="32"/>
      <c r="K35" s="43" t="s">
        <v>56</v>
      </c>
      <c r="L35" s="43" t="s">
        <v>74</v>
      </c>
      <c r="M35" s="1">
        <v>0</v>
      </c>
      <c r="N35" s="1">
        <v>0</v>
      </c>
      <c r="O35" s="1">
        <v>0</v>
      </c>
      <c r="P35" s="1">
        <v>0</v>
      </c>
      <c r="Q35" s="19"/>
      <c r="R35" s="19"/>
      <c r="S35" s="12"/>
      <c r="T35" s="32"/>
      <c r="U35" s="19"/>
      <c r="V35" s="19"/>
      <c r="W35" s="19"/>
      <c r="X35" s="19"/>
      <c r="Y35" s="19"/>
      <c r="Z35" s="19"/>
      <c r="AA35" s="19"/>
      <c r="AB35" s="19"/>
      <c r="AC35" s="12"/>
      <c r="AD35" s="19"/>
      <c r="AE35" s="19"/>
      <c r="AF35" s="19"/>
      <c r="AG35" s="19"/>
      <c r="AH35" s="19"/>
      <c r="AI35" s="19"/>
      <c r="AK35" s="121" t="s">
        <v>118</v>
      </c>
      <c r="AL35" s="121" t="s">
        <v>93</v>
      </c>
      <c r="AM35" s="121">
        <v>7.5000000000000002E-4</v>
      </c>
      <c r="AN35" s="121">
        <v>8.3999999999999995E-3</v>
      </c>
      <c r="AO35" s="121"/>
      <c r="AP35" s="121"/>
      <c r="AQ35" s="121"/>
      <c r="AR35" s="121"/>
      <c r="AS35" s="121"/>
      <c r="AT35" s="121"/>
      <c r="AU35" s="121"/>
      <c r="AV35" s="121"/>
    </row>
    <row r="36" spans="1:48" x14ac:dyDescent="0.25">
      <c r="A36" s="32"/>
      <c r="B36" s="52" t="s">
        <v>177</v>
      </c>
      <c r="C36" s="59"/>
      <c r="D36" s="59"/>
      <c r="E36" s="59"/>
      <c r="F36" s="5">
        <v>0</v>
      </c>
      <c r="G36" s="8"/>
      <c r="H36" s="4">
        <f>F36</f>
        <v>0</v>
      </c>
      <c r="I36" s="16"/>
      <c r="J36" s="32"/>
      <c r="K36" s="43" t="s">
        <v>54</v>
      </c>
      <c r="L36" s="43" t="s">
        <v>79</v>
      </c>
      <c r="M36" s="1">
        <v>0</v>
      </c>
      <c r="N36" s="1">
        <v>0</v>
      </c>
      <c r="O36" s="1">
        <v>0</v>
      </c>
      <c r="P36" s="1">
        <v>0</v>
      </c>
      <c r="Q36" s="19"/>
      <c r="R36" s="19"/>
      <c r="S36" s="12"/>
      <c r="T36" s="32"/>
      <c r="U36" s="19"/>
      <c r="V36" s="19"/>
      <c r="W36" s="19"/>
      <c r="X36" s="19"/>
      <c r="Y36" s="19"/>
      <c r="Z36" s="19"/>
      <c r="AA36" s="19"/>
      <c r="AB36" s="19"/>
      <c r="AC36" s="12"/>
      <c r="AD36" s="19"/>
      <c r="AE36" s="19"/>
      <c r="AF36" s="19"/>
      <c r="AG36" s="19"/>
      <c r="AH36" s="19"/>
      <c r="AI36" s="19"/>
      <c r="AK36" s="121" t="s">
        <v>119</v>
      </c>
      <c r="AL36" s="121" t="s">
        <v>91</v>
      </c>
      <c r="AM36" s="121">
        <v>1.4999999999999999E-4</v>
      </c>
      <c r="AN36" s="121">
        <v>3.0000000000000001E-3</v>
      </c>
      <c r="AO36" s="121"/>
      <c r="AP36" s="121"/>
      <c r="AQ36" s="121"/>
      <c r="AR36" s="121"/>
      <c r="AS36" s="121"/>
      <c r="AT36" s="121"/>
      <c r="AU36" s="121"/>
      <c r="AV36" s="121"/>
    </row>
    <row r="37" spans="1:48" ht="13" x14ac:dyDescent="0.3">
      <c r="A37" s="32"/>
      <c r="B37" s="68" t="s">
        <v>8</v>
      </c>
      <c r="C37" s="177" t="s">
        <v>153</v>
      </c>
      <c r="D37" s="178"/>
      <c r="E37" s="69">
        <f>SUM(E10:E36)</f>
        <v>0.11</v>
      </c>
      <c r="F37" s="148" t="s">
        <v>152</v>
      </c>
      <c r="G37" s="149"/>
      <c r="H37" s="70">
        <f>SUM(H10:H36)</f>
        <v>0.19500000000000001</v>
      </c>
      <c r="I37" s="16"/>
      <c r="J37" s="32"/>
      <c r="K37" s="148" t="s">
        <v>206</v>
      </c>
      <c r="L37" s="149"/>
      <c r="M37" s="8"/>
      <c r="N37" s="8"/>
      <c r="O37" s="8"/>
      <c r="P37" s="8"/>
      <c r="Q37" s="19"/>
      <c r="R37" s="19"/>
      <c r="S37" s="12"/>
      <c r="T37" s="32"/>
      <c r="U37" s="19"/>
      <c r="V37" s="19"/>
      <c r="W37" s="19"/>
      <c r="X37" s="19"/>
      <c r="Y37" s="19"/>
      <c r="Z37" s="19"/>
      <c r="AA37" s="19"/>
      <c r="AB37" s="19"/>
      <c r="AC37" s="12"/>
      <c r="AD37" s="19"/>
      <c r="AE37" s="19"/>
      <c r="AF37" s="19"/>
      <c r="AG37" s="19"/>
      <c r="AH37" s="19"/>
      <c r="AI37" s="19"/>
      <c r="AK37" s="121" t="s">
        <v>120</v>
      </c>
      <c r="AL37" s="122" t="s">
        <v>206</v>
      </c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</row>
    <row r="38" spans="1:48" x14ac:dyDescent="0.25">
      <c r="A38" s="32"/>
      <c r="B38" s="52" t="s">
        <v>11</v>
      </c>
      <c r="C38" s="9">
        <v>24</v>
      </c>
      <c r="D38" s="71" t="s">
        <v>12</v>
      </c>
      <c r="E38" s="72">
        <f>E37*C38</f>
        <v>2.64</v>
      </c>
      <c r="F38" s="28" t="s">
        <v>139</v>
      </c>
      <c r="G38" s="73">
        <f>VLOOKUP(F38,AS6:AT17,2,FALSE)</f>
        <v>8.3000000000000004E-2</v>
      </c>
      <c r="H38" s="74">
        <f>H37*G38</f>
        <v>1.6185000000000001E-2</v>
      </c>
      <c r="I38" s="17"/>
      <c r="J38" s="32"/>
      <c r="K38" s="39" t="s">
        <v>28</v>
      </c>
      <c r="L38" s="39" t="s">
        <v>84</v>
      </c>
      <c r="M38" s="1">
        <v>0</v>
      </c>
      <c r="N38" s="1">
        <v>0</v>
      </c>
      <c r="O38" s="1">
        <v>0</v>
      </c>
      <c r="P38" s="1">
        <v>0</v>
      </c>
      <c r="Q38" s="19"/>
      <c r="R38" s="19"/>
      <c r="S38" s="12"/>
      <c r="T38" s="32"/>
      <c r="U38" s="19"/>
      <c r="V38" s="19"/>
      <c r="W38" s="19"/>
      <c r="X38" s="19"/>
      <c r="Y38" s="19"/>
      <c r="Z38" s="19"/>
      <c r="AA38" s="19"/>
      <c r="AB38" s="19"/>
      <c r="AC38" s="12"/>
      <c r="AD38" s="19"/>
      <c r="AE38" s="19"/>
      <c r="AF38" s="19"/>
      <c r="AG38" s="19"/>
      <c r="AH38" s="19"/>
      <c r="AI38" s="19"/>
      <c r="AK38" s="121" t="s">
        <v>121</v>
      </c>
      <c r="AL38" s="121" t="s">
        <v>84</v>
      </c>
      <c r="AM38" s="121">
        <v>3.4999999999999997E-5</v>
      </c>
      <c r="AN38" s="121">
        <v>3.4999999999999997E-5</v>
      </c>
      <c r="AO38" s="121"/>
      <c r="AP38" s="121"/>
      <c r="AQ38" s="121"/>
      <c r="AR38" s="121"/>
      <c r="AS38" s="121"/>
      <c r="AT38" s="121"/>
      <c r="AU38" s="121"/>
      <c r="AV38" s="121"/>
    </row>
    <row r="39" spans="1:48" x14ac:dyDescent="0.25">
      <c r="A39" s="32"/>
      <c r="B39" s="19"/>
      <c r="C39" s="159" t="s">
        <v>151</v>
      </c>
      <c r="D39" s="179"/>
      <c r="E39" s="179"/>
      <c r="F39" s="179"/>
      <c r="G39" s="180"/>
      <c r="H39" s="76">
        <f>E38</f>
        <v>2.64</v>
      </c>
      <c r="I39" s="17"/>
      <c r="J39" s="32"/>
      <c r="K39" s="39" t="s">
        <v>26</v>
      </c>
      <c r="L39" s="39" t="s">
        <v>29</v>
      </c>
      <c r="M39" s="1">
        <v>0</v>
      </c>
      <c r="N39" s="1">
        <v>0</v>
      </c>
      <c r="O39" s="1">
        <v>0</v>
      </c>
      <c r="P39" s="1">
        <v>0</v>
      </c>
      <c r="Q39" s="19"/>
      <c r="R39" s="19"/>
      <c r="S39" s="12"/>
      <c r="T39" s="32"/>
      <c r="U39" s="19"/>
      <c r="V39" s="19"/>
      <c r="W39" s="19"/>
      <c r="X39" s="19"/>
      <c r="Y39" s="19"/>
      <c r="Z39" s="19"/>
      <c r="AA39" s="19"/>
      <c r="AB39" s="19"/>
      <c r="AC39" s="12"/>
      <c r="AD39" s="19"/>
      <c r="AE39" s="19"/>
      <c r="AF39" s="19"/>
      <c r="AG39" s="19"/>
      <c r="AH39" s="19"/>
      <c r="AI39" s="19"/>
      <c r="AK39" s="121" t="s">
        <v>122</v>
      </c>
      <c r="AL39" s="121" t="s">
        <v>29</v>
      </c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</row>
    <row r="40" spans="1:48" ht="13" thickBot="1" x14ac:dyDescent="0.3">
      <c r="A40" s="32"/>
      <c r="B40" s="19"/>
      <c r="C40" s="181" t="s">
        <v>14</v>
      </c>
      <c r="D40" s="160"/>
      <c r="E40" s="160"/>
      <c r="F40" s="160"/>
      <c r="G40" s="182"/>
      <c r="H40" s="78">
        <f>SUM(H38:H39)</f>
        <v>2.6561850000000002</v>
      </c>
      <c r="I40" s="17"/>
      <c r="J40" s="32"/>
      <c r="K40" s="43"/>
      <c r="L40" s="43"/>
      <c r="M40" s="8"/>
      <c r="N40" s="8"/>
      <c r="O40" s="8"/>
      <c r="P40" s="8"/>
      <c r="Q40" s="19"/>
      <c r="R40" s="19"/>
      <c r="S40" s="12"/>
      <c r="T40" s="32"/>
      <c r="U40" s="19"/>
      <c r="V40" s="19"/>
      <c r="W40" s="19"/>
      <c r="X40" s="19"/>
      <c r="Y40" s="19"/>
      <c r="Z40" s="80" t="s">
        <v>44</v>
      </c>
      <c r="AA40" s="19"/>
      <c r="AB40" s="19"/>
      <c r="AC40" s="12"/>
      <c r="AD40" s="19"/>
      <c r="AE40" s="19"/>
      <c r="AF40" s="19"/>
      <c r="AG40" s="19"/>
      <c r="AH40" s="19"/>
      <c r="AI40" s="19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</row>
    <row r="41" spans="1:48" ht="14" thickTop="1" thickBot="1" x14ac:dyDescent="0.35">
      <c r="A41" s="32"/>
      <c r="B41" s="49" t="str">
        <f>IF(H41&gt;48,"Exceeds AX-CTL Charger","")</f>
        <v/>
      </c>
      <c r="C41" s="159" t="s">
        <v>223</v>
      </c>
      <c r="D41" s="160"/>
      <c r="E41" s="160"/>
      <c r="F41" s="160"/>
      <c r="G41" s="192"/>
      <c r="H41" s="81">
        <f>H40*1.25</f>
        <v>3.3202312500000004</v>
      </c>
      <c r="I41" s="14" t="s">
        <v>15</v>
      </c>
      <c r="J41" s="32"/>
      <c r="K41" s="39"/>
      <c r="L41" s="39"/>
      <c r="M41" s="8"/>
      <c r="N41" s="8"/>
      <c r="O41" s="8"/>
      <c r="P41" s="8"/>
      <c r="Q41" s="19"/>
      <c r="R41" s="19"/>
      <c r="S41" s="12"/>
      <c r="T41" s="32"/>
      <c r="U41" s="19"/>
      <c r="V41" s="19"/>
      <c r="W41" s="19"/>
      <c r="X41" s="19"/>
      <c r="Y41" s="19"/>
      <c r="Z41" s="19"/>
      <c r="AA41" s="19"/>
      <c r="AB41" s="19"/>
      <c r="AC41" s="12"/>
      <c r="AD41" s="19"/>
      <c r="AE41" s="19"/>
      <c r="AF41" s="19"/>
      <c r="AG41" s="19"/>
      <c r="AH41" s="19"/>
      <c r="AI41" s="19"/>
      <c r="AK41" s="121"/>
      <c r="AL41" s="121" t="s">
        <v>158</v>
      </c>
      <c r="AM41" s="127">
        <f>SUM(H17,H19,H20,H21,H22,H23,H25)</f>
        <v>0</v>
      </c>
      <c r="AN41" s="121"/>
      <c r="AO41" s="121"/>
      <c r="AP41" s="121"/>
      <c r="AQ41" s="121"/>
      <c r="AR41" s="121"/>
      <c r="AS41" s="121"/>
      <c r="AT41" s="121"/>
      <c r="AU41" s="121"/>
      <c r="AV41" s="121"/>
    </row>
    <row r="42" spans="1:48" ht="9.75" customHeight="1" thickTop="1" x14ac:dyDescent="0.25">
      <c r="A42" s="32"/>
      <c r="B42" s="82"/>
      <c r="C42" s="19"/>
      <c r="D42" s="19"/>
      <c r="E42" s="19"/>
      <c r="F42" s="19"/>
      <c r="G42" s="19"/>
      <c r="H42" s="19"/>
      <c r="I42" s="12"/>
      <c r="J42" s="32"/>
      <c r="K42" s="19"/>
      <c r="L42" s="19"/>
      <c r="M42" s="50"/>
      <c r="N42" s="50"/>
      <c r="O42" s="50"/>
      <c r="P42" s="50"/>
      <c r="Q42" s="19"/>
      <c r="R42" s="19"/>
      <c r="S42" s="12"/>
      <c r="T42" s="32"/>
      <c r="U42" s="19"/>
      <c r="V42" s="19"/>
      <c r="W42" s="19"/>
      <c r="X42" s="19"/>
      <c r="Y42" s="19"/>
      <c r="Z42" s="19"/>
      <c r="AA42" s="19"/>
      <c r="AB42" s="19"/>
      <c r="AC42" s="12"/>
      <c r="AD42" s="19"/>
      <c r="AE42" s="19"/>
      <c r="AF42" s="19"/>
      <c r="AG42" s="19"/>
      <c r="AH42" s="19"/>
      <c r="AI42" s="19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</row>
    <row r="43" spans="1:48" ht="13" x14ac:dyDescent="0.3">
      <c r="A43" s="32"/>
      <c r="B43" s="20" t="s">
        <v>67</v>
      </c>
      <c r="C43" s="19"/>
      <c r="D43" s="19"/>
      <c r="E43" s="19"/>
      <c r="F43" s="19"/>
      <c r="G43" s="19"/>
      <c r="H43" s="19"/>
      <c r="I43" s="12"/>
      <c r="J43" s="32"/>
      <c r="K43" s="43" t="s">
        <v>214</v>
      </c>
      <c r="L43" s="10">
        <v>5</v>
      </c>
      <c r="M43" s="83">
        <f>SUM(M6*AM6)+(M7*AM7)+(M8*AM8)+(M9*AM9)+(M10*AM10)+(M11*AM11)+(M16*AM16)+(M18*AM18)+(M19*AM19)+(M20*AM20)+(M21*AM21)+(M23*AM23)+(M24*AM24)+(M26*AM26)+(M27*AM27)+(M28*AM28)+(M29*AM29)+(M30*AM30)+(M31*AM31)+(M32*AM32)+(M34*AM34)+(M35*AM35)+(M36*AM36)+(M38*AM38)</f>
        <v>0</v>
      </c>
      <c r="N43" s="83">
        <f>SUM(N6*AM6)+(N7*AM7)+(N8*AM8)+(N9*AM9)+(N10*AM10)+(N11*AM11)+(N16*AM16)+(N18*AM18)+(N19*AM19)+(N20*AM20)+(N21*AM21)+(N23*AM23)+(N24*AM24)+(N26*AM26)+(N27*AM27)+(N28*AM28)+(N29*AM29)+(N30*AM30)+(N31*AM31)+(N32*AM32)+(N34*AM34)+(N35*AM35)+(N36*AM36)+(N38*AM38)</f>
        <v>0</v>
      </c>
      <c r="O43" s="83">
        <f>SUM(O6*AM6)+(O7*AM7)+(O8*AM8)+(O9*AM9)+(O10*AM10)+(O11*AM11)+(O16*AM16)+(O18*AM18)+(O19*AM19)+(O20*AM20)+(O21*AM21)+(O23*AM23)+(O24*AM24)+(O26*AM26)+(O27*AM27)+(O28*AM28)+(O29*AM29)+(O30*AM30)+(O31*AM31)+(O32*AM32)+(O34*AM34)+(O35*AM35)+(O36*AM36)+(O38*AM38)</f>
        <v>0</v>
      </c>
      <c r="P43" s="83">
        <f>SUM(P6*AM6)+(P7*AM7)+(P8*AM8)+(P9*AM9)+(P10*AM10)+(P11*AM11)+(P16*AM16)+(P18*AM18)+(P19*AM19)+(P20*AM20)+(P21*AM21)+(P23*AM23)+(P24*AM24)+(P26*AM26)+(P27*AM27)+(P28*AM28)+(P29*AM29)+(P30*AM30)+(P31*AM31)+(P32*AM32)+(P34*AM34)+(P35*AM35)+(P36*AM36)+(P38*AM38)</f>
        <v>0</v>
      </c>
      <c r="Q43" s="21" t="s">
        <v>162</v>
      </c>
      <c r="R43" s="19"/>
      <c r="S43" s="12"/>
      <c r="T43" s="84"/>
      <c r="U43" s="19"/>
      <c r="V43" s="19"/>
      <c r="W43" s="19"/>
      <c r="X43" s="19"/>
      <c r="Y43" s="19"/>
      <c r="Z43" s="19"/>
      <c r="AA43" s="19"/>
      <c r="AB43" s="19"/>
      <c r="AC43" s="12"/>
      <c r="AD43" s="19"/>
      <c r="AE43" s="19"/>
      <c r="AF43" s="19"/>
      <c r="AG43" s="19"/>
      <c r="AH43" s="19"/>
      <c r="AI43" s="19"/>
      <c r="AK43" s="121"/>
      <c r="AL43" s="121" t="s">
        <v>171</v>
      </c>
      <c r="AM43" s="121">
        <v>0</v>
      </c>
      <c r="AN43" s="121">
        <v>0</v>
      </c>
      <c r="AO43" s="121">
        <v>0</v>
      </c>
      <c r="AP43" s="121"/>
      <c r="AQ43" s="121"/>
      <c r="AR43" s="121"/>
      <c r="AS43" s="121"/>
      <c r="AT43" s="121"/>
      <c r="AU43" s="121"/>
      <c r="AV43" s="121"/>
    </row>
    <row r="44" spans="1:48" ht="13" x14ac:dyDescent="0.3">
      <c r="A44" s="32"/>
      <c r="B44" s="19" t="s">
        <v>68</v>
      </c>
      <c r="C44" s="19"/>
      <c r="D44" s="19"/>
      <c r="E44" s="19"/>
      <c r="F44" s="19"/>
      <c r="G44" s="19"/>
      <c r="H44" s="19"/>
      <c r="I44" s="12"/>
      <c r="J44" s="32"/>
      <c r="K44" s="19"/>
      <c r="L44" s="85"/>
      <c r="M44" s="83">
        <f>SUM(M6*AN6)+(M7*AN7)+(M8*AN8)+(M9*AN9)+(M10*AN10)+(M11*AN11)+(M15*AN15)+(M18*AN18)+(M19*AN19)+(M20*AN20)+(M21*AN21)+(M23*AN23)+(M24*AN24)+(M26*AN26)+(M27*AN27)+(M28*AN28)+(M29*AN29)+(M30*AN30)+(M31*AN31)+(M32*AN32)+(M34*AN34)+(M35*AN35)+(M36*AN36)+(M38*AN38)+(L45*0.005)</f>
        <v>0</v>
      </c>
      <c r="N44" s="83">
        <f>SUM(N6*AN6)+(N7*AN7)+(N8*AN8)+(N9*AN9)+(N10*AN10)+(N11*AN11)+(N15*AN15)+(N18*AN18)+(N19*AN19)+(N20*AN20)+(N21*AN21)+(N23*AN23)+(N24*AN24)+(N26*AN26)+(N27*AN27)+(N28*AN28)+(N29*AN29)+(N30*AN30)+(N31*AN31)+(N32*AN32)+(N34*AN34)+(N35*AN35)+(N36*AN36)+(N38*AN38)+(M45*0.005)</f>
        <v>0</v>
      </c>
      <c r="O44" s="83">
        <f>SUM(O6*AN6)+(O7*AN7)+(O8*AN8)+(O9*AN9)+(O10*AN10)+(O11*AN11)+(O15*AN15)+(O18*AN18)+(O19*AN19)+(O20*AN20)+(O21*AN21)+(O23*AN23)+(O24*AN24)+(O26*AN26)+(O27*AN27)+(O28*AN28)+(O29*AN29)+(O30*AN30)+(O31*AN31)+(O32*AN32)+(O34*AN34)+(O35*AN35)+(O36*AN36)+(O38*AN38)+(N45*0.005)</f>
        <v>0</v>
      </c>
      <c r="P44" s="83">
        <f>SUM(P6*AN6)+(P7*AN7)+(P8*AN8)+(P9*AN9)+(P10*AN10)+(P11*AN11)+(P15*AN15)+(P18*AN18)+(P19*AN19)+(P20*AN20)+(P21*AN21)+(P23*AN23)+(P24*AN24)+(P26*AN26)+(P27*AN27)+(P28*AN28)+(P29*AN29)+(P30*AN30)+(P31*AN31)+(P32*AN32)+(P34*AN34)+(P35*AN35)+(P36*AN36)+(P38*AN38)+(O45*0.005)</f>
        <v>0</v>
      </c>
      <c r="Q44" s="21" t="s">
        <v>163</v>
      </c>
      <c r="R44" s="19"/>
      <c r="S44" s="12"/>
      <c r="T44" s="32"/>
      <c r="U44" s="19"/>
      <c r="V44" s="19"/>
      <c r="W44" s="19"/>
      <c r="X44" s="19"/>
      <c r="Y44" s="19"/>
      <c r="Z44" s="19"/>
      <c r="AA44" s="19"/>
      <c r="AB44" s="19"/>
      <c r="AC44" s="12"/>
      <c r="AD44" s="19"/>
      <c r="AE44" s="19"/>
      <c r="AF44" s="19"/>
      <c r="AG44" s="19"/>
      <c r="AH44" s="19"/>
      <c r="AI44" s="19"/>
      <c r="AK44" s="121"/>
      <c r="AL44" s="121" t="s">
        <v>135</v>
      </c>
      <c r="AM44" s="121">
        <v>0.02</v>
      </c>
      <c r="AN44" s="121">
        <v>0.02</v>
      </c>
      <c r="AO44" s="121">
        <v>1</v>
      </c>
      <c r="AP44" s="121"/>
      <c r="AQ44" s="121"/>
      <c r="AR44" s="121"/>
      <c r="AS44" s="121"/>
      <c r="AT44" s="121"/>
      <c r="AU44" s="121"/>
      <c r="AV44" s="121"/>
    </row>
    <row r="45" spans="1:48" ht="13" x14ac:dyDescent="0.3">
      <c r="A45" s="32"/>
      <c r="B45" s="19" t="s">
        <v>69</v>
      </c>
      <c r="C45" s="19"/>
      <c r="D45" s="19"/>
      <c r="E45" s="19"/>
      <c r="F45" s="19"/>
      <c r="G45" s="19"/>
      <c r="H45" s="19"/>
      <c r="I45" s="12"/>
      <c r="J45" s="32"/>
      <c r="K45" s="21" t="s">
        <v>156</v>
      </c>
      <c r="L45" s="33">
        <f>IF(SUM(M6,M7,M8,M9,M10,M11,M23,M24,M26,M27,M28,M29,M31)&lt;$L43,SUM(M6,M7,M8,M9,M10,M11,M23,M24,M26,M27,M28,M29,M31),$L43)</f>
        <v>0</v>
      </c>
      <c r="M45" s="33">
        <f>IF(SUM(N6,N7,N8,N9,N10,N11,N23,N24,N26,N27,N28,N29,N31)&lt;$L43,SUM(N6,N7,N8,N9,N10,N11,N23,N24,N26,N27,N28,N29,N31),$L43)</f>
        <v>0</v>
      </c>
      <c r="N45" s="33">
        <f>IF(SUM(O6,O7,O8,O9,O10,O11,O23,O24,O26,O27,O28,O29,O31)&lt;$L43,SUM(O6,O7,O8,O9,O10,O11,O23,O24,O26,O27,O28,O29,O31),$L43)</f>
        <v>0</v>
      </c>
      <c r="O45" s="33">
        <f>IF(SUM(P6,P7,P8,P9,P10,P11,P23,P24,P26,P27,P28,P29,P31)&lt;$L43,SUM(P6,P7,P8,P9,P10,P11,P23,P24,P26,P27,P28,P29,P31),$L43)</f>
        <v>0</v>
      </c>
      <c r="P45" s="92"/>
      <c r="Q45" s="19"/>
      <c r="R45" s="19"/>
      <c r="S45" s="12"/>
      <c r="T45" s="32"/>
      <c r="U45" s="19"/>
      <c r="V45" s="19"/>
      <c r="W45" s="19"/>
      <c r="X45" s="19"/>
      <c r="Y45" s="19"/>
      <c r="Z45" s="19"/>
      <c r="AA45" s="19"/>
      <c r="AB45" s="19"/>
      <c r="AC45" s="12"/>
      <c r="AD45" s="19"/>
      <c r="AE45" s="19"/>
      <c r="AF45" s="19"/>
      <c r="AG45" s="19"/>
      <c r="AH45" s="19"/>
      <c r="AI45" s="19"/>
      <c r="AK45" s="121"/>
      <c r="AL45" s="121" t="s">
        <v>134</v>
      </c>
      <c r="AM45" s="121">
        <v>6.2E-2</v>
      </c>
      <c r="AN45" s="121">
        <v>6.2E-2</v>
      </c>
      <c r="AO45" s="121">
        <v>1</v>
      </c>
      <c r="AP45" s="121"/>
      <c r="AQ45" s="121"/>
      <c r="AR45" s="121"/>
      <c r="AS45" s="121"/>
      <c r="AT45" s="121"/>
      <c r="AU45" s="121"/>
      <c r="AV45" s="121"/>
    </row>
    <row r="46" spans="1:48" x14ac:dyDescent="0.25">
      <c r="A46" s="32"/>
      <c r="B46" s="19" t="s">
        <v>16</v>
      </c>
      <c r="C46" s="19"/>
      <c r="D46" s="19"/>
      <c r="E46" s="19"/>
      <c r="F46" s="19"/>
      <c r="G46" s="19"/>
      <c r="H46" s="19"/>
      <c r="I46" s="12"/>
      <c r="J46" s="32"/>
      <c r="K46" s="187" t="s">
        <v>226</v>
      </c>
      <c r="L46" s="188"/>
      <c r="M46" s="87" t="str">
        <f>IF(M3&gt;126,"Exceeds","OK")</f>
        <v>OK</v>
      </c>
      <c r="N46" s="87" t="str">
        <f>IF(N3&gt;126,"Exceeds","OK")</f>
        <v>OK</v>
      </c>
      <c r="O46" s="87" t="str">
        <f>IF(O3&gt;126,"Exceeds","OK")</f>
        <v>OK</v>
      </c>
      <c r="P46" s="87" t="str">
        <f>IF(P3&gt;126,"Exceeds","OK")</f>
        <v>OK</v>
      </c>
      <c r="Q46" s="19"/>
      <c r="R46" s="19"/>
      <c r="S46" s="12"/>
      <c r="T46" s="32"/>
      <c r="U46" s="19"/>
      <c r="V46" s="19"/>
      <c r="W46" s="19"/>
      <c r="X46" s="19"/>
      <c r="Y46" s="19"/>
      <c r="Z46" s="19"/>
      <c r="AA46" s="19"/>
      <c r="AB46" s="19"/>
      <c r="AC46" s="12"/>
      <c r="AD46" s="19"/>
      <c r="AE46" s="19"/>
      <c r="AF46" s="19"/>
      <c r="AG46" s="19"/>
      <c r="AH46" s="19"/>
      <c r="AI46" s="19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</row>
    <row r="47" spans="1:48" x14ac:dyDescent="0.25">
      <c r="A47" s="32"/>
      <c r="B47" s="168"/>
      <c r="C47" s="169"/>
      <c r="D47" s="169"/>
      <c r="E47" s="169"/>
      <c r="F47" s="169"/>
      <c r="G47" s="169"/>
      <c r="H47" s="170"/>
      <c r="I47" s="12"/>
      <c r="J47" s="32"/>
      <c r="K47" s="19"/>
      <c r="L47" s="19"/>
      <c r="M47" s="19"/>
      <c r="N47" s="19"/>
      <c r="O47" s="19"/>
      <c r="P47" s="19"/>
      <c r="Q47" s="19"/>
      <c r="R47" s="19"/>
      <c r="S47" s="12"/>
      <c r="T47" s="32"/>
      <c r="U47" s="19"/>
      <c r="V47" s="19"/>
      <c r="W47" s="19"/>
      <c r="X47" s="19"/>
      <c r="Y47" s="19"/>
      <c r="Z47" s="19"/>
      <c r="AA47" s="19"/>
      <c r="AB47" s="19"/>
      <c r="AC47" s="12"/>
      <c r="AD47" s="19"/>
      <c r="AE47" s="19"/>
      <c r="AF47" s="19"/>
      <c r="AG47" s="19"/>
      <c r="AH47" s="19"/>
      <c r="AI47" s="19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</row>
    <row r="48" spans="1:48" x14ac:dyDescent="0.25">
      <c r="A48" s="32"/>
      <c r="B48" s="171"/>
      <c r="C48" s="172"/>
      <c r="D48" s="172"/>
      <c r="E48" s="172"/>
      <c r="F48" s="172"/>
      <c r="G48" s="172"/>
      <c r="H48" s="173"/>
      <c r="I48" s="12"/>
      <c r="J48" s="32"/>
      <c r="K48" s="183" t="s">
        <v>227</v>
      </c>
      <c r="L48" s="184"/>
      <c r="M48" s="39" t="str">
        <f>IF(M44&gt;0.5,"Exceeds","OK")</f>
        <v>OK</v>
      </c>
      <c r="N48" s="39" t="str">
        <f>IF(N44&gt;0.5,"Exceeds","OK")</f>
        <v>OK</v>
      </c>
      <c r="O48" s="39" t="str">
        <f>IF(O44&gt;0.5,"Exceeds","OK")</f>
        <v>OK</v>
      </c>
      <c r="P48" s="39" t="str">
        <f>IF(P44&gt;0.5,"Exceeds","OK")</f>
        <v>OK</v>
      </c>
      <c r="Q48" s="19"/>
      <c r="R48" s="19"/>
      <c r="S48" s="12"/>
      <c r="T48" s="32"/>
      <c r="U48" s="19"/>
      <c r="V48" s="19"/>
      <c r="W48" s="19"/>
      <c r="X48" s="19"/>
      <c r="Y48" s="19"/>
      <c r="Z48" s="19"/>
      <c r="AA48" s="19"/>
      <c r="AB48" s="19"/>
      <c r="AC48" s="12"/>
      <c r="AD48" s="19"/>
      <c r="AE48" s="19"/>
      <c r="AF48" s="19"/>
      <c r="AG48" s="19"/>
      <c r="AH48" s="19"/>
      <c r="AI48" s="19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</row>
    <row r="49" spans="1:50" x14ac:dyDescent="0.25">
      <c r="A49" s="32"/>
      <c r="B49" s="171"/>
      <c r="C49" s="172"/>
      <c r="D49" s="172"/>
      <c r="E49" s="172"/>
      <c r="F49" s="172"/>
      <c r="G49" s="172"/>
      <c r="H49" s="173"/>
      <c r="I49" s="12"/>
      <c r="J49" s="32"/>
      <c r="K49" s="19"/>
      <c r="L49" s="19"/>
      <c r="M49" s="19"/>
      <c r="N49" s="19"/>
      <c r="O49" s="19"/>
      <c r="P49" s="19"/>
      <c r="Q49" s="19"/>
      <c r="R49" s="19"/>
      <c r="S49" s="12"/>
      <c r="T49" s="32"/>
      <c r="U49" s="19"/>
      <c r="V49" s="19"/>
      <c r="W49" s="19"/>
      <c r="X49" s="19"/>
      <c r="Y49" s="19"/>
      <c r="Z49" s="19"/>
      <c r="AA49" s="19"/>
      <c r="AB49" s="19"/>
      <c r="AC49" s="12"/>
      <c r="AD49" s="19"/>
      <c r="AE49" s="19"/>
      <c r="AF49" s="19"/>
      <c r="AG49" s="19"/>
      <c r="AH49" s="19"/>
      <c r="AI49" s="19"/>
      <c r="AK49" s="121"/>
      <c r="AL49" s="121"/>
      <c r="AM49" s="128"/>
      <c r="AN49" s="128"/>
      <c r="AO49" s="121"/>
      <c r="AP49" s="121"/>
      <c r="AQ49" s="121"/>
      <c r="AR49" s="121"/>
      <c r="AS49" s="121"/>
      <c r="AT49" s="121"/>
      <c r="AU49" s="121"/>
      <c r="AV49" s="121"/>
    </row>
    <row r="50" spans="1:50" x14ac:dyDescent="0.25">
      <c r="A50" s="32"/>
      <c r="B50" s="171"/>
      <c r="C50" s="172"/>
      <c r="D50" s="172"/>
      <c r="E50" s="172"/>
      <c r="F50" s="172"/>
      <c r="G50" s="172"/>
      <c r="H50" s="173"/>
      <c r="I50" s="12"/>
      <c r="J50" s="32"/>
      <c r="K50" s="19"/>
      <c r="L50" s="19"/>
      <c r="M50" s="19"/>
      <c r="N50" s="19"/>
      <c r="O50" s="19"/>
      <c r="P50" s="19"/>
      <c r="Q50" s="19"/>
      <c r="R50" s="19"/>
      <c r="S50" s="12"/>
      <c r="T50" s="32"/>
      <c r="U50" s="19"/>
      <c r="V50" s="19"/>
      <c r="W50" s="19"/>
      <c r="X50" s="19"/>
      <c r="Y50" s="19"/>
      <c r="Z50" s="19"/>
      <c r="AA50" s="19"/>
      <c r="AB50" s="19"/>
      <c r="AC50" s="12"/>
      <c r="AD50" s="19"/>
      <c r="AE50" s="19"/>
      <c r="AF50" s="19"/>
      <c r="AG50" s="19"/>
      <c r="AH50" s="19"/>
      <c r="AI50" s="19"/>
      <c r="AK50" s="121"/>
      <c r="AL50" s="121" t="s">
        <v>178</v>
      </c>
      <c r="AM50" s="128">
        <v>0</v>
      </c>
      <c r="AN50" s="128">
        <v>0</v>
      </c>
      <c r="AO50" s="121"/>
      <c r="AP50" s="121"/>
      <c r="AQ50" s="121"/>
      <c r="AR50" s="121"/>
      <c r="AS50" s="121"/>
      <c r="AT50" s="121"/>
      <c r="AU50" s="121"/>
      <c r="AV50" s="121"/>
    </row>
    <row r="51" spans="1:50" x14ac:dyDescent="0.25">
      <c r="A51" s="32"/>
      <c r="B51" s="171"/>
      <c r="C51" s="172"/>
      <c r="D51" s="172"/>
      <c r="E51" s="172"/>
      <c r="F51" s="172"/>
      <c r="G51" s="172"/>
      <c r="H51" s="173"/>
      <c r="I51" s="12"/>
      <c r="J51" s="32"/>
      <c r="K51" s="19"/>
      <c r="L51" s="19"/>
      <c r="M51" s="19"/>
      <c r="N51" s="19"/>
      <c r="O51" s="19"/>
      <c r="P51" s="19"/>
      <c r="Q51" s="19"/>
      <c r="R51" s="19"/>
      <c r="S51" s="12"/>
      <c r="T51" s="32"/>
      <c r="U51" s="19"/>
      <c r="V51" s="19"/>
      <c r="W51" s="19"/>
      <c r="X51" s="19"/>
      <c r="Y51" s="19"/>
      <c r="Z51" s="19"/>
      <c r="AA51" s="19"/>
      <c r="AB51" s="19"/>
      <c r="AC51" s="12"/>
      <c r="AD51" s="19"/>
      <c r="AE51" s="19"/>
      <c r="AF51" s="19"/>
      <c r="AG51" s="19"/>
      <c r="AH51" s="19"/>
      <c r="AI51" s="19"/>
      <c r="AK51" s="121"/>
      <c r="AL51" s="121" t="s">
        <v>179</v>
      </c>
      <c r="AM51" s="121">
        <v>0.03</v>
      </c>
      <c r="AN51" s="121">
        <v>0.03</v>
      </c>
      <c r="AO51" s="121"/>
      <c r="AP51" s="121"/>
      <c r="AQ51" s="121"/>
      <c r="AR51" s="121"/>
      <c r="AS51" s="121"/>
      <c r="AT51" s="121"/>
      <c r="AU51" s="121"/>
      <c r="AV51" s="121"/>
    </row>
    <row r="52" spans="1:50" x14ac:dyDescent="0.25">
      <c r="A52" s="32"/>
      <c r="B52" s="171"/>
      <c r="C52" s="172"/>
      <c r="D52" s="172"/>
      <c r="E52" s="172"/>
      <c r="F52" s="172"/>
      <c r="G52" s="172"/>
      <c r="H52" s="173"/>
      <c r="I52" s="12"/>
      <c r="J52" s="32"/>
      <c r="K52" s="19"/>
      <c r="L52" s="19"/>
      <c r="M52" s="19"/>
      <c r="N52" s="19"/>
      <c r="O52" s="19"/>
      <c r="P52" s="19"/>
      <c r="Q52" s="19"/>
      <c r="R52" s="19"/>
      <c r="S52" s="12"/>
      <c r="T52" s="32"/>
      <c r="U52" s="19"/>
      <c r="V52" s="19"/>
      <c r="W52" s="19"/>
      <c r="X52" s="19"/>
      <c r="Y52" s="19"/>
      <c r="Z52" s="19"/>
      <c r="AA52" s="19"/>
      <c r="AB52" s="19"/>
      <c r="AC52" s="12"/>
      <c r="AD52" s="19"/>
      <c r="AE52" s="19"/>
      <c r="AF52" s="19"/>
      <c r="AG52" s="19"/>
      <c r="AH52" s="19"/>
      <c r="AI52" s="19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</row>
    <row r="53" spans="1:50" x14ac:dyDescent="0.25">
      <c r="A53" s="32"/>
      <c r="B53" s="171"/>
      <c r="C53" s="172"/>
      <c r="D53" s="172"/>
      <c r="E53" s="172"/>
      <c r="F53" s="172"/>
      <c r="G53" s="172"/>
      <c r="H53" s="173"/>
      <c r="I53" s="12"/>
      <c r="J53" s="32"/>
      <c r="K53" s="19"/>
      <c r="L53" s="19"/>
      <c r="M53" s="19"/>
      <c r="N53" s="19"/>
      <c r="O53" s="19"/>
      <c r="P53" s="19"/>
      <c r="Q53" s="19"/>
      <c r="R53" s="19"/>
      <c r="S53" s="12"/>
      <c r="T53" s="32"/>
      <c r="U53" s="19"/>
      <c r="V53" s="19"/>
      <c r="W53" s="19"/>
      <c r="X53" s="19"/>
      <c r="Y53" s="19"/>
      <c r="Z53" s="19"/>
      <c r="AA53" s="19"/>
      <c r="AB53" s="19"/>
      <c r="AC53" s="12"/>
      <c r="AD53" s="19"/>
      <c r="AE53" s="19"/>
      <c r="AF53" s="19"/>
      <c r="AG53" s="19"/>
      <c r="AH53" s="19"/>
      <c r="AI53" s="19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</row>
    <row r="54" spans="1:50" x14ac:dyDescent="0.25">
      <c r="A54" s="32"/>
      <c r="B54" s="174"/>
      <c r="C54" s="175"/>
      <c r="D54" s="175"/>
      <c r="E54" s="175"/>
      <c r="F54" s="175"/>
      <c r="G54" s="175"/>
      <c r="H54" s="176"/>
      <c r="I54" s="12"/>
      <c r="J54" s="32"/>
      <c r="K54" s="19"/>
      <c r="L54" s="19"/>
      <c r="M54" s="19"/>
      <c r="N54" s="19"/>
      <c r="O54" s="19"/>
      <c r="P54" s="19"/>
      <c r="Q54" s="19"/>
      <c r="R54" s="19"/>
      <c r="S54" s="12"/>
      <c r="T54" s="32"/>
      <c r="U54" s="19"/>
      <c r="V54" s="19"/>
      <c r="W54" s="19"/>
      <c r="X54" s="19"/>
      <c r="Y54" s="19"/>
      <c r="Z54" s="19"/>
      <c r="AA54" s="19"/>
      <c r="AB54" s="19"/>
      <c r="AC54" s="12"/>
      <c r="AD54" s="19"/>
      <c r="AE54" s="19"/>
      <c r="AF54" s="19"/>
      <c r="AG54" s="19"/>
      <c r="AH54" s="19"/>
      <c r="AI54" s="19"/>
      <c r="AK54" s="121"/>
      <c r="AL54" s="121" t="s">
        <v>137</v>
      </c>
      <c r="AM54" s="128">
        <v>0</v>
      </c>
      <c r="AN54" s="128">
        <v>0</v>
      </c>
      <c r="AO54" s="121">
        <v>0</v>
      </c>
      <c r="AP54" s="121"/>
      <c r="AQ54" s="121"/>
      <c r="AR54" s="121"/>
      <c r="AS54" s="121"/>
      <c r="AT54" s="121"/>
      <c r="AU54" s="121"/>
      <c r="AV54" s="121"/>
    </row>
    <row r="55" spans="1:50" ht="13" thickBot="1" x14ac:dyDescent="0.3">
      <c r="A55" s="88"/>
      <c r="B55" s="24"/>
      <c r="C55" s="24"/>
      <c r="D55" s="24"/>
      <c r="E55" s="24"/>
      <c r="F55" s="24"/>
      <c r="G55" s="24"/>
      <c r="H55" s="24"/>
      <c r="I55" s="18"/>
      <c r="J55" s="88"/>
      <c r="K55" s="24"/>
      <c r="L55" s="24"/>
      <c r="M55" s="24"/>
      <c r="N55" s="24"/>
      <c r="O55" s="24"/>
      <c r="P55" s="24"/>
      <c r="Q55" s="24"/>
      <c r="R55" s="24" t="s">
        <v>43</v>
      </c>
      <c r="S55" s="89" t="s">
        <v>132</v>
      </c>
      <c r="T55" s="88"/>
      <c r="U55" s="24"/>
      <c r="V55" s="24"/>
      <c r="W55" s="24"/>
      <c r="X55" s="24"/>
      <c r="Y55" s="24"/>
      <c r="Z55" s="24"/>
      <c r="AA55" s="24"/>
      <c r="AB55" s="24"/>
      <c r="AC55" s="18"/>
      <c r="AD55" s="19"/>
      <c r="AE55" s="19"/>
      <c r="AF55" s="19"/>
      <c r="AG55" s="19"/>
      <c r="AH55" s="19"/>
      <c r="AI55" s="19"/>
      <c r="AK55" s="121"/>
      <c r="AL55" s="121" t="s">
        <v>136</v>
      </c>
      <c r="AM55" s="121">
        <v>7.0000000000000007E-2</v>
      </c>
      <c r="AN55" s="121">
        <v>7.0000000000000007E-2</v>
      </c>
      <c r="AO55" s="121">
        <v>1</v>
      </c>
      <c r="AP55" s="121"/>
      <c r="AQ55" s="121"/>
      <c r="AR55" s="121"/>
      <c r="AS55" s="121"/>
      <c r="AT55" s="121"/>
      <c r="AU55" s="121"/>
      <c r="AV55" s="121"/>
    </row>
    <row r="56" spans="1:50" s="19" customFormat="1" x14ac:dyDescent="0.25">
      <c r="AJ56"/>
      <c r="AK56" s="121"/>
      <c r="AL56" s="121" t="s">
        <v>138</v>
      </c>
      <c r="AM56" s="121">
        <v>0.11</v>
      </c>
      <c r="AN56" s="121">
        <v>0.11</v>
      </c>
      <c r="AO56" s="121">
        <v>1</v>
      </c>
      <c r="AP56" s="121"/>
      <c r="AQ56" s="121"/>
      <c r="AR56" s="121"/>
      <c r="AS56" s="121"/>
      <c r="AT56" s="121"/>
      <c r="AU56" s="121"/>
      <c r="AV56" s="121"/>
      <c r="AW56"/>
      <c r="AX56"/>
    </row>
    <row r="57" spans="1:50" s="19" customFormat="1" x14ac:dyDescent="0.25">
      <c r="AJ57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/>
      <c r="AX57"/>
    </row>
    <row r="58" spans="1:50" s="19" customFormat="1" x14ac:dyDescent="0.25">
      <c r="AJ58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/>
      <c r="AX58"/>
    </row>
    <row r="59" spans="1:50" s="19" customFormat="1" x14ac:dyDescent="0.25">
      <c r="AJ59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/>
      <c r="AX59"/>
    </row>
    <row r="60" spans="1:50" s="19" customFormat="1" x14ac:dyDescent="0.25">
      <c r="AJ60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/>
      <c r="AX60"/>
    </row>
    <row r="61" spans="1:50" s="19" customFormat="1" x14ac:dyDescent="0.25">
      <c r="AJ6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/>
      <c r="AX61"/>
    </row>
    <row r="62" spans="1:50" s="19" customFormat="1" x14ac:dyDescent="0.25">
      <c r="AJ62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/>
      <c r="AX62"/>
    </row>
    <row r="63" spans="1:50" s="19" customFormat="1" x14ac:dyDescent="0.25">
      <c r="AJ63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/>
      <c r="AX63"/>
    </row>
    <row r="64" spans="1:50" s="19" customFormat="1" x14ac:dyDescent="0.25">
      <c r="AJ64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/>
      <c r="AX64"/>
    </row>
    <row r="65" spans="36:50" s="19" customFormat="1" x14ac:dyDescent="0.25">
      <c r="AJ65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/>
      <c r="AX65"/>
    </row>
    <row r="66" spans="36:50" s="19" customFormat="1" x14ac:dyDescent="0.25">
      <c r="AJ66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/>
      <c r="AX66"/>
    </row>
    <row r="67" spans="36:50" s="19" customFormat="1" x14ac:dyDescent="0.25">
      <c r="AJ67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/>
      <c r="AX67"/>
    </row>
    <row r="68" spans="36:50" s="19" customFormat="1" x14ac:dyDescent="0.25">
      <c r="AJ68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/>
      <c r="AX68"/>
    </row>
    <row r="69" spans="36:50" s="19" customFormat="1" x14ac:dyDescent="0.25">
      <c r="AJ69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/>
      <c r="AX69"/>
    </row>
    <row r="70" spans="36:50" s="19" customFormat="1" x14ac:dyDescent="0.25">
      <c r="AJ70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/>
      <c r="AX70"/>
    </row>
    <row r="71" spans="36:50" s="19" customFormat="1" x14ac:dyDescent="0.25">
      <c r="AJ7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/>
      <c r="AX71"/>
    </row>
    <row r="72" spans="36:50" s="19" customFormat="1" x14ac:dyDescent="0.25">
      <c r="AJ72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/>
      <c r="AX72"/>
    </row>
    <row r="73" spans="36:50" s="19" customFormat="1" x14ac:dyDescent="0.25">
      <c r="AJ73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/>
      <c r="AX73"/>
    </row>
    <row r="74" spans="36:50" s="19" customFormat="1" x14ac:dyDescent="0.25">
      <c r="AJ74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/>
      <c r="AX74"/>
    </row>
    <row r="75" spans="36:50" s="19" customFormat="1" x14ac:dyDescent="0.25">
      <c r="AJ75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/>
      <c r="AX75"/>
    </row>
    <row r="76" spans="36:50" s="19" customFormat="1" x14ac:dyDescent="0.25">
      <c r="AJ76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/>
      <c r="AX76"/>
    </row>
    <row r="77" spans="36:50" s="19" customFormat="1" x14ac:dyDescent="0.25">
      <c r="AJ77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/>
      <c r="AX77"/>
    </row>
    <row r="78" spans="36:50" s="19" customFormat="1" x14ac:dyDescent="0.25">
      <c r="AJ78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/>
      <c r="AX78"/>
    </row>
    <row r="79" spans="36:50" s="19" customFormat="1" x14ac:dyDescent="0.25">
      <c r="AJ79"/>
      <c r="AK79" s="121"/>
      <c r="AL79" s="121">
        <v>123</v>
      </c>
      <c r="AM79" s="121">
        <v>0</v>
      </c>
      <c r="AN79" s="121">
        <v>0</v>
      </c>
      <c r="AO79" s="121"/>
      <c r="AP79" s="121"/>
      <c r="AQ79" s="121"/>
      <c r="AR79" s="121"/>
      <c r="AS79" s="121"/>
      <c r="AT79" s="121"/>
      <c r="AU79" s="121">
        <v>0</v>
      </c>
      <c r="AV79" s="121"/>
      <c r="AW79"/>
      <c r="AX79"/>
    </row>
    <row r="80" spans="36:50" x14ac:dyDescent="0.25">
      <c r="AK80" s="121"/>
      <c r="AL80" s="121">
        <v>124</v>
      </c>
      <c r="AM80" s="121">
        <v>1</v>
      </c>
      <c r="AN80" s="121">
        <v>1</v>
      </c>
      <c r="AO80" s="121"/>
      <c r="AP80" s="121"/>
      <c r="AQ80" s="121"/>
      <c r="AR80" s="121"/>
      <c r="AS80" s="121"/>
      <c r="AT80" s="121"/>
      <c r="AU80" s="121">
        <v>1</v>
      </c>
      <c r="AV80" s="121"/>
    </row>
    <row r="81" spans="37:48" x14ac:dyDescent="0.25">
      <c r="AK81" s="121"/>
      <c r="AL81" s="121">
        <v>125</v>
      </c>
      <c r="AM81" s="121">
        <v>1</v>
      </c>
      <c r="AN81" s="121">
        <v>2</v>
      </c>
      <c r="AO81" s="121"/>
      <c r="AP81" s="121"/>
      <c r="AQ81" s="121"/>
      <c r="AR81" s="121"/>
      <c r="AS81" s="121"/>
      <c r="AT81" s="121"/>
      <c r="AU81" s="121">
        <v>2</v>
      </c>
      <c r="AV81" s="121"/>
    </row>
    <row r="82" spans="37:48" x14ac:dyDescent="0.25"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</row>
  </sheetData>
  <sheetProtection password="8F69" sheet="1" selectLockedCells="1"/>
  <mergeCells count="23">
    <mergeCell ref="U2:AB2"/>
    <mergeCell ref="K46:L46"/>
    <mergeCell ref="U4:AB4"/>
    <mergeCell ref="A1:I2"/>
    <mergeCell ref="C4:H4"/>
    <mergeCell ref="K25:L25"/>
    <mergeCell ref="K33:L33"/>
    <mergeCell ref="K37:L37"/>
    <mergeCell ref="C5:E5"/>
    <mergeCell ref="G5:H5"/>
    <mergeCell ref="K5:L5"/>
    <mergeCell ref="A3:I3"/>
    <mergeCell ref="K12:L12"/>
    <mergeCell ref="C41:G41"/>
    <mergeCell ref="B47:H54"/>
    <mergeCell ref="K13:L13"/>
    <mergeCell ref="K17:L17"/>
    <mergeCell ref="C37:D37"/>
    <mergeCell ref="F37:G37"/>
    <mergeCell ref="C39:G39"/>
    <mergeCell ref="C40:G40"/>
    <mergeCell ref="K48:L48"/>
    <mergeCell ref="K22:L22"/>
  </mergeCells>
  <conditionalFormatting sqref="B41">
    <cfRule type="containsText" dxfId="34" priority="2" stopIfTrue="1" operator="containsText" text="Exceeds">
      <formula>NOT(ISERROR(SEARCH("Exceeds",B41)))</formula>
    </cfRule>
  </conditionalFormatting>
  <conditionalFormatting sqref="C31">
    <cfRule type="containsText" dxfId="33" priority="3" stopIfTrue="1" operator="containsText" text="Exceeds">
      <formula>NOT(ISERROR(SEARCH("Exceeds",C31)))</formula>
    </cfRule>
  </conditionalFormatting>
  <conditionalFormatting sqref="H41">
    <cfRule type="cellIs" dxfId="32" priority="1" stopIfTrue="1" operator="greaterThan">
      <formula>$AT$20</formula>
    </cfRule>
  </conditionalFormatting>
  <conditionalFormatting sqref="M46:P46">
    <cfRule type="containsText" dxfId="31" priority="6" stopIfTrue="1" operator="containsText" text="Exceeds">
      <formula>NOT(ISERROR(SEARCH("Exceeds",M46)))</formula>
    </cfRule>
  </conditionalFormatting>
  <conditionalFormatting sqref="M48:P48">
    <cfRule type="containsText" dxfId="30" priority="4" stopIfTrue="1" operator="containsText" text="Exceeds">
      <formula>NOT(ISERROR(SEARCH("Exceeds",M48)))</formula>
    </cfRule>
  </conditionalFormatting>
  <conditionalFormatting sqref="AB6:AB7">
    <cfRule type="cellIs" dxfId="29" priority="37" stopIfTrue="1" operator="greaterThan">
      <formula>16</formula>
    </cfRule>
    <cfRule type="cellIs" dxfId="28" priority="36" stopIfTrue="1" operator="lessThan">
      <formula>16</formula>
    </cfRule>
  </conditionalFormatting>
  <conditionalFormatting sqref="AB9:AB10">
    <cfRule type="cellIs" dxfId="27" priority="33" stopIfTrue="1" operator="greaterThan">
      <formula>16</formula>
    </cfRule>
    <cfRule type="cellIs" dxfId="26" priority="32" stopIfTrue="1" operator="lessThan">
      <formula>16</formula>
    </cfRule>
  </conditionalFormatting>
  <conditionalFormatting sqref="AB12:AB13">
    <cfRule type="cellIs" dxfId="25" priority="29" stopIfTrue="1" operator="greaterThan">
      <formula>16</formula>
    </cfRule>
    <cfRule type="cellIs" dxfId="24" priority="28" stopIfTrue="1" operator="lessThan">
      <formula>16</formula>
    </cfRule>
  </conditionalFormatting>
  <conditionalFormatting sqref="AB15:AB16">
    <cfRule type="cellIs" dxfId="23" priority="25" stopIfTrue="1" operator="greaterThan">
      <formula>16</formula>
    </cfRule>
    <cfRule type="cellIs" dxfId="22" priority="24" stopIfTrue="1" operator="lessThan">
      <formula>16</formula>
    </cfRule>
  </conditionalFormatting>
  <conditionalFormatting sqref="AB19:AB20">
    <cfRule type="cellIs" dxfId="21" priority="20" stopIfTrue="1" operator="lessThan">
      <formula>16</formula>
    </cfRule>
    <cfRule type="cellIs" dxfId="20" priority="21" stopIfTrue="1" operator="greaterThan">
      <formula>16</formula>
    </cfRule>
  </conditionalFormatting>
  <conditionalFormatting sqref="AB22:AB23">
    <cfRule type="cellIs" dxfId="19" priority="17" stopIfTrue="1" operator="greaterThan">
      <formula>16</formula>
    </cfRule>
    <cfRule type="cellIs" dxfId="18" priority="16" stopIfTrue="1" operator="lessThan">
      <formula>16</formula>
    </cfRule>
  </conditionalFormatting>
  <conditionalFormatting sqref="AB25:AB26">
    <cfRule type="cellIs" dxfId="17" priority="13" stopIfTrue="1" operator="greaterThan">
      <formula>16</formula>
    </cfRule>
    <cfRule type="cellIs" dxfId="16" priority="12" stopIfTrue="1" operator="lessThan">
      <formula>16</formula>
    </cfRule>
  </conditionalFormatting>
  <conditionalFormatting sqref="AB28:AB29">
    <cfRule type="cellIs" dxfId="15" priority="8" stopIfTrue="1" operator="lessThan">
      <formula>16</formula>
    </cfRule>
    <cfRule type="cellIs" dxfId="14" priority="9" stopIfTrue="1" operator="greaterThan">
      <formula>16</formula>
    </cfRule>
  </conditionalFormatting>
  <dataValidations xWindow="144" yWindow="462" count="22">
    <dataValidation allowBlank="1" showInputMessage="1" showErrorMessage="1" promptTitle="NAC 1 Wire Length" prompt="Enter Total Wire Length_x000a_if Class A Out and Back" sqref="Z6" xr:uid="{00000000-0002-0000-0200-000000000000}"/>
    <dataValidation allowBlank="1" showInputMessage="1" showErrorMessage="1" promptTitle="NAC 2 Wire Length" prompt="Enter Total Wire Length_x000a_if Class A Out and Back" sqref="Z7" xr:uid="{00000000-0002-0000-0200-000001000000}"/>
    <dataValidation allowBlank="1" showInputMessage="1" showErrorMessage="1" promptTitle="User Notes" prompt="Enter any required special notes" sqref="B47:H54" xr:uid="{00000000-0002-0000-0200-000002000000}"/>
    <dataValidation type="whole" allowBlank="1" showInputMessage="1" showErrorMessage="1" error="Valid Range 1 - 50" promptTitle="Maximum Number of Device LED" prompt="Valid Range 1 - 50" sqref="L43" xr:uid="{00000000-0002-0000-0200-000003000000}">
      <formula1>1</formula1>
      <formula2>50</formula2>
    </dataValidation>
    <dataValidation type="decimal" allowBlank="1" showInputMessage="1" showErrorMessage="1" prompt="Valid Range 0 - 0.5" sqref="F31" xr:uid="{00000000-0002-0000-0200-000004000000}">
      <formula1>0</formula1>
      <formula2>0.5</formula2>
    </dataValidation>
    <dataValidation type="decimal" allowBlank="1" showInputMessage="1" showErrorMessage="1" promptTitle="Aux 1 Current Load" prompt="Valid Range 0 - 0.5" sqref="C30 F30" xr:uid="{00000000-0002-0000-0200-000005000000}">
      <formula1>0</formula1>
      <formula2>0.5</formula2>
    </dataValidation>
    <dataValidation type="whole" allowBlank="1" showInputMessage="1" showErrorMessage="1" prompt="Valid Range 0 - 1" sqref="D18 G19" xr:uid="{00000000-0002-0000-0200-000006000000}">
      <formula1>0</formula1>
      <formula2>1</formula2>
    </dataValidation>
    <dataValidation allowBlank="1" showInputMessage="1" showErrorMessage="1" promptTitle="Standby Duration" prompt="Enter standby period required in hours" sqref="C38" xr:uid="{00000000-0002-0000-0200-000007000000}"/>
    <dataValidation allowBlank="1" showInputMessage="1" showErrorMessage="1" prompt="Enter date" sqref="G5:H5" xr:uid="{00000000-0002-0000-0200-000008000000}"/>
    <dataValidation allowBlank="1" showInputMessage="1" showErrorMessage="1" prompt="Enter your name" sqref="C5:E5" xr:uid="{00000000-0002-0000-0200-000009000000}"/>
    <dataValidation allowBlank="1" showInputMessage="1" showErrorMessage="1" prompt="Enter Project Name / Location" sqref="C4:H4" xr:uid="{00000000-0002-0000-0200-00000A000000}"/>
    <dataValidation type="whole" allowBlank="1" showInputMessage="1" showErrorMessage="1" prompt="Valid Range 0 - 15" sqref="D20:D21 D23" xr:uid="{00000000-0002-0000-0200-00000B000000}">
      <formula1>0</formula1>
      <formula2>15</formula2>
    </dataValidation>
    <dataValidation type="decimal" allowBlank="1" showInputMessage="1" showErrorMessage="1" promptTitle="NAC 2 Alarm Load" prompt="Valid Range 0 - 2_x000a_Refer to Voltage Drop Calculator on right" sqref="F34 F36" xr:uid="{00000000-0002-0000-0200-00000C000000}">
      <formula1>0</formula1>
      <formula2>2</formula2>
    </dataValidation>
    <dataValidation type="decimal" allowBlank="1" showInputMessage="1" showErrorMessage="1" promptTitle="NAC 1 Alarm Load" prompt="Valid Range 0 - 2_x000a_Refer to Voltage Drop Calculator on the right" sqref="F33 F35" xr:uid="{00000000-0002-0000-0200-00000D000000}">
      <formula1>0</formula1>
      <formula2>2</formula2>
    </dataValidation>
    <dataValidation type="list" allowBlank="1" showInputMessage="1" showErrorMessage="1" promptTitle="Alarm Duration" prompt="Enter alarm duration_x000a_via dropdown menu" sqref="F38" xr:uid="{00000000-0002-0000-0200-00000E000000}">
      <formula1>$AS$6:$AS$17</formula1>
    </dataValidation>
    <dataValidation allowBlank="1" showInputMessage="1" showErrorMessage="1" promptTitle="Aux 2 Current Load" prompt="Valid Range 0 - 0.5" sqref="F32 C32" xr:uid="{00000000-0002-0000-0200-00000F000000}"/>
    <dataValidation type="whole" allowBlank="1" showInputMessage="1" showErrorMessage="1" prompt="Due to Alarm Current Draw_x000a_Valid Range 0 - 1" sqref="D26" xr:uid="{00000000-0002-0000-0200-000010000000}">
      <formula1>0</formula1>
      <formula2>1</formula2>
    </dataValidation>
    <dataValidation type="list" allowBlank="1" showInputMessage="1" showErrorMessage="1" promptTitle="LCD Backlight Battery Mode" prompt="Select AC Failure LCD Backlight Operation:_x000a_OFF_x000a_ON" sqref="B11" xr:uid="{00000000-0002-0000-0200-000011000000}">
      <formula1>$AL$50:$AL$51</formula1>
    </dataValidation>
    <dataValidation type="list" allowBlank="1" showInputMessage="1" showErrorMessage="1" promptTitle="Network Style" prompt="Select Network Wiring_x000a_Style 4(B) or 7(A)" sqref="B16" xr:uid="{00000000-0002-0000-0200-000012000000}">
      <formula1>$AL$43:$AL$45</formula1>
    </dataValidation>
    <dataValidation type="list" allowBlank="1" showInputMessage="1" showErrorMessage="1" promptTitle="Select ipGateway Usage" prompt="ipGateway Network Interface/Wiring" sqref="B25" xr:uid="{00000000-0002-0000-0200-000013000000}">
      <formula1>$AL$54:$AL$56</formula1>
    </dataValidation>
    <dataValidation allowBlank="1" showInputMessage="1" showErrorMessage="1" promptTitle="NAC 3 Wire Length" prompt="Enter Total Wire Length_x000a_if Class A Out and Back" sqref="Z19" xr:uid="{00000000-0002-0000-0200-000014000000}"/>
    <dataValidation allowBlank="1" showInputMessage="1" showErrorMessage="1" promptTitle="NAC 4 Wire Length" prompt="Enter Total Wire Length_x000a_if Class A Out and Back" sqref="Z20" xr:uid="{00000000-0002-0000-0200-000015000000}"/>
  </dataValidations>
  <pageMargins left="0.75" right="0.75" top="1" bottom="1" header="0.5" footer="0.5"/>
  <pageSetup paperSize="9" scale="16" orientation="portrait" r:id="rId1"/>
  <headerFooter alignWithMargins="0"/>
  <ignoredErrors>
    <ignoredError sqref="S55" numberStoredAsText="1"/>
    <ignoredError sqref="C3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87"/>
  <sheetViews>
    <sheetView workbookViewId="0">
      <selection activeCell="C4" sqref="C4:H4"/>
    </sheetView>
  </sheetViews>
  <sheetFormatPr defaultColWidth="9.1796875" defaultRowHeight="12.5" x14ac:dyDescent="0.25"/>
  <cols>
    <col min="2" max="2" width="27.81640625" customWidth="1"/>
    <col min="12" max="31" width="9.1796875" style="19"/>
    <col min="32" max="33" width="9.1796875" customWidth="1"/>
  </cols>
  <sheetData>
    <row r="1" spans="1:33" ht="12.75" customHeight="1" x14ac:dyDescent="0.25">
      <c r="A1" s="150" t="s">
        <v>219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33" ht="12.75" customHeight="1" x14ac:dyDescent="0.25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5"/>
      <c r="AF2" s="121" t="s">
        <v>139</v>
      </c>
      <c r="AG2" s="121">
        <v>8.3000000000000004E-2</v>
      </c>
    </row>
    <row r="3" spans="1:33" x14ac:dyDescent="0.25">
      <c r="A3" s="156" t="s">
        <v>194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  <c r="AF3" s="121" t="s">
        <v>140</v>
      </c>
      <c r="AG3" s="121">
        <v>0.16700000000000001</v>
      </c>
    </row>
    <row r="4" spans="1:33" ht="15.5" x14ac:dyDescent="0.35">
      <c r="A4" s="35"/>
      <c r="B4" s="36" t="s">
        <v>0</v>
      </c>
      <c r="C4" s="161"/>
      <c r="D4" s="189"/>
      <c r="E4" s="189"/>
      <c r="F4" s="189"/>
      <c r="G4" s="189"/>
      <c r="H4" s="190"/>
      <c r="I4" s="19"/>
      <c r="J4" s="19"/>
      <c r="K4" s="12"/>
      <c r="AF4" s="121" t="s">
        <v>141</v>
      </c>
      <c r="AG4" s="121">
        <v>0.25</v>
      </c>
    </row>
    <row r="5" spans="1:33" ht="15.5" x14ac:dyDescent="0.35">
      <c r="A5" s="35"/>
      <c r="B5" s="38" t="s">
        <v>1</v>
      </c>
      <c r="C5" s="164"/>
      <c r="D5" s="189"/>
      <c r="E5" s="190"/>
      <c r="F5" s="39" t="s">
        <v>2</v>
      </c>
      <c r="G5" s="165"/>
      <c r="H5" s="191"/>
      <c r="I5" s="20"/>
      <c r="J5" s="20"/>
      <c r="K5" s="13"/>
      <c r="AF5" s="121" t="s">
        <v>142</v>
      </c>
      <c r="AG5" s="121">
        <v>0.33400000000000002</v>
      </c>
    </row>
    <row r="6" spans="1:33" ht="15.5" x14ac:dyDescent="0.35">
      <c r="A6" s="35"/>
      <c r="B6" s="42"/>
      <c r="C6" s="42"/>
      <c r="D6" s="42"/>
      <c r="E6" s="19"/>
      <c r="F6" s="19"/>
      <c r="G6" s="19"/>
      <c r="H6" s="19"/>
      <c r="I6" s="19"/>
      <c r="J6" s="19"/>
      <c r="K6" s="12"/>
      <c r="AF6" s="121" t="s">
        <v>143</v>
      </c>
      <c r="AG6" s="121">
        <v>0.41699999999999998</v>
      </c>
    </row>
    <row r="7" spans="1:33" ht="15.5" x14ac:dyDescent="0.35">
      <c r="A7" s="32"/>
      <c r="B7" s="42"/>
      <c r="C7" s="19"/>
      <c r="D7" s="19"/>
      <c r="E7" s="19"/>
      <c r="F7" s="19"/>
      <c r="G7" s="19"/>
      <c r="H7" s="19"/>
      <c r="I7" s="19"/>
      <c r="J7" s="19"/>
      <c r="K7" s="12"/>
      <c r="AF7" s="121" t="s">
        <v>144</v>
      </c>
      <c r="AG7" s="121">
        <v>0.5</v>
      </c>
    </row>
    <row r="8" spans="1:33" ht="13" x14ac:dyDescent="0.3">
      <c r="A8" s="32"/>
      <c r="B8" s="21"/>
      <c r="C8" s="39"/>
      <c r="D8" s="47" t="s">
        <v>153</v>
      </c>
      <c r="E8" s="36"/>
      <c r="F8" s="39"/>
      <c r="G8" s="47" t="s">
        <v>152</v>
      </c>
      <c r="H8" s="36"/>
      <c r="I8" s="21"/>
      <c r="J8" s="21"/>
      <c r="K8" s="14"/>
      <c r="AF8" s="121" t="s">
        <v>145</v>
      </c>
      <c r="AG8" s="121">
        <v>0.58399999999999996</v>
      </c>
    </row>
    <row r="9" spans="1:33" ht="13" x14ac:dyDescent="0.3">
      <c r="A9" s="32"/>
      <c r="B9" s="36" t="s">
        <v>5</v>
      </c>
      <c r="C9" s="47" t="s">
        <v>6</v>
      </c>
      <c r="D9" s="47" t="s">
        <v>7</v>
      </c>
      <c r="E9" s="47" t="s">
        <v>8</v>
      </c>
      <c r="F9" s="47" t="s">
        <v>6</v>
      </c>
      <c r="G9" s="47" t="s">
        <v>7</v>
      </c>
      <c r="H9" s="47" t="s">
        <v>8</v>
      </c>
      <c r="I9" s="120"/>
      <c r="J9" s="120"/>
      <c r="K9" s="15"/>
      <c r="AF9" s="121" t="s">
        <v>146</v>
      </c>
      <c r="AG9" s="121">
        <v>0.66700000000000004</v>
      </c>
    </row>
    <row r="10" spans="1:33" x14ac:dyDescent="0.25">
      <c r="A10" s="32"/>
      <c r="B10" s="52" t="s">
        <v>47</v>
      </c>
      <c r="C10" s="4">
        <v>3.5000000000000003E-2</v>
      </c>
      <c r="D10" s="54">
        <v>1</v>
      </c>
      <c r="E10" s="4">
        <f>C10*D10</f>
        <v>3.5000000000000003E-2</v>
      </c>
      <c r="F10" s="4">
        <v>0.22</v>
      </c>
      <c r="G10" s="54">
        <v>1</v>
      </c>
      <c r="H10" s="4">
        <f>F10*G10</f>
        <v>0.22</v>
      </c>
      <c r="I10" s="22"/>
      <c r="J10" s="22"/>
      <c r="K10" s="16"/>
      <c r="AF10" s="121" t="s">
        <v>147</v>
      </c>
      <c r="AG10" s="121">
        <v>0.75</v>
      </c>
    </row>
    <row r="11" spans="1:33" x14ac:dyDescent="0.25">
      <c r="A11" s="32"/>
      <c r="B11" s="129"/>
      <c r="C11" s="130"/>
      <c r="D11" s="130"/>
      <c r="E11" s="130"/>
      <c r="F11" s="130"/>
      <c r="G11" s="130"/>
      <c r="H11" s="130"/>
      <c r="I11" s="22"/>
      <c r="J11" s="22"/>
      <c r="K11" s="16"/>
      <c r="AF11" s="121" t="s">
        <v>148</v>
      </c>
      <c r="AG11" s="121">
        <v>0.83399999999999996</v>
      </c>
    </row>
    <row r="12" spans="1:33" x14ac:dyDescent="0.25">
      <c r="A12" s="32"/>
      <c r="B12" s="129"/>
      <c r="C12" s="130"/>
      <c r="D12" s="130"/>
      <c r="E12" s="130"/>
      <c r="F12" s="130"/>
      <c r="G12" s="130"/>
      <c r="H12" s="130"/>
      <c r="I12" s="22"/>
      <c r="J12" s="22"/>
      <c r="K12" s="16"/>
      <c r="AF12" s="121" t="s">
        <v>149</v>
      </c>
      <c r="AG12" s="121">
        <v>0.91700000000000004</v>
      </c>
    </row>
    <row r="13" spans="1:33" x14ac:dyDescent="0.25">
      <c r="A13" s="32"/>
      <c r="B13" s="52" t="s">
        <v>50</v>
      </c>
      <c r="C13" s="100">
        <v>0</v>
      </c>
      <c r="D13" s="93">
        <v>1</v>
      </c>
      <c r="E13" s="4">
        <f>SUM(C13*D13)</f>
        <v>0</v>
      </c>
      <c r="F13" s="100">
        <v>0</v>
      </c>
      <c r="G13" s="93">
        <v>1</v>
      </c>
      <c r="H13" s="4">
        <f>F13*G13</f>
        <v>0</v>
      </c>
      <c r="I13" s="22"/>
      <c r="J13" s="22"/>
      <c r="K13" s="16"/>
      <c r="AF13" s="121" t="s">
        <v>150</v>
      </c>
      <c r="AG13" s="121">
        <v>1</v>
      </c>
    </row>
    <row r="14" spans="1:33" x14ac:dyDescent="0.25">
      <c r="A14" s="32"/>
      <c r="B14" s="52" t="s">
        <v>230</v>
      </c>
      <c r="C14" s="202" t="s">
        <v>60</v>
      </c>
      <c r="D14" s="203"/>
      <c r="E14" s="27">
        <v>0</v>
      </c>
      <c r="F14" s="54">
        <f>SUM(E14/19)</f>
        <v>0</v>
      </c>
      <c r="G14" s="3"/>
      <c r="H14" s="4">
        <f>F14</f>
        <v>0</v>
      </c>
      <c r="I14" s="22"/>
      <c r="J14" s="22"/>
      <c r="K14" s="16"/>
      <c r="AF14" s="121"/>
      <c r="AG14" s="121"/>
    </row>
    <row r="15" spans="1:33" x14ac:dyDescent="0.25">
      <c r="A15" s="32"/>
      <c r="B15" s="52" t="s">
        <v>231</v>
      </c>
      <c r="C15" s="204"/>
      <c r="D15" s="205"/>
      <c r="E15" s="27">
        <v>0</v>
      </c>
      <c r="F15" s="54">
        <f>SUM(E15/19)</f>
        <v>0</v>
      </c>
      <c r="G15" s="3"/>
      <c r="H15" s="4">
        <f>F15</f>
        <v>0</v>
      </c>
      <c r="I15" s="22"/>
      <c r="J15" s="22"/>
      <c r="K15" s="16"/>
      <c r="AF15" s="121"/>
      <c r="AG15" s="121"/>
    </row>
    <row r="16" spans="1:33" ht="13" x14ac:dyDescent="0.3">
      <c r="A16" s="32"/>
      <c r="B16" s="68" t="s">
        <v>8</v>
      </c>
      <c r="C16" s="148" t="s">
        <v>153</v>
      </c>
      <c r="D16" s="149"/>
      <c r="E16" s="69">
        <f>SUM(E10:E13)</f>
        <v>3.5000000000000003E-2</v>
      </c>
      <c r="F16" s="148" t="s">
        <v>152</v>
      </c>
      <c r="G16" s="149"/>
      <c r="H16" s="70">
        <f>SUM(H10:H15)</f>
        <v>0.22</v>
      </c>
      <c r="I16" s="23"/>
      <c r="J16" s="23"/>
      <c r="K16" s="17"/>
      <c r="AF16" s="121" t="s">
        <v>236</v>
      </c>
      <c r="AG16" s="121">
        <v>48</v>
      </c>
    </row>
    <row r="17" spans="1:11" x14ac:dyDescent="0.25">
      <c r="A17" s="32"/>
      <c r="B17" s="52" t="s">
        <v>11</v>
      </c>
      <c r="C17" s="9">
        <v>24</v>
      </c>
      <c r="D17" s="94" t="s">
        <v>12</v>
      </c>
      <c r="E17" s="72">
        <f>E16*C17</f>
        <v>0.84000000000000008</v>
      </c>
      <c r="F17" s="101" t="s">
        <v>139</v>
      </c>
      <c r="G17" s="73">
        <f>VLOOKUP(F17,AF2:AG13,2,FALSE)</f>
        <v>8.3000000000000004E-2</v>
      </c>
      <c r="H17" s="74">
        <f>H16*G17</f>
        <v>1.8260000000000002E-2</v>
      </c>
      <c r="I17" s="23"/>
      <c r="J17" s="23"/>
      <c r="K17" s="17"/>
    </row>
    <row r="18" spans="1:11" x14ac:dyDescent="0.25">
      <c r="A18" s="32"/>
      <c r="B18" s="19"/>
      <c r="C18" s="159" t="s">
        <v>151</v>
      </c>
      <c r="D18" s="179"/>
      <c r="E18" s="179"/>
      <c r="F18" s="179"/>
      <c r="G18" s="180"/>
      <c r="H18" s="76">
        <f>E17</f>
        <v>0.84000000000000008</v>
      </c>
      <c r="I18" s="19"/>
      <c r="J18" s="19"/>
      <c r="K18" s="12"/>
    </row>
    <row r="19" spans="1:11" ht="13" thickBot="1" x14ac:dyDescent="0.3">
      <c r="A19" s="32"/>
      <c r="B19" s="19"/>
      <c r="C19" s="181" t="s">
        <v>14</v>
      </c>
      <c r="D19" s="160"/>
      <c r="E19" s="160"/>
      <c r="F19" s="160"/>
      <c r="G19" s="182"/>
      <c r="H19" s="78">
        <f>SUM(H17:H18)</f>
        <v>0.85826000000000013</v>
      </c>
      <c r="I19" s="19"/>
      <c r="J19" s="19"/>
      <c r="K19" s="12"/>
    </row>
    <row r="20" spans="1:11" ht="14" thickTop="1" thickBot="1" x14ac:dyDescent="0.35">
      <c r="A20" s="32"/>
      <c r="B20" s="49" t="str">
        <f>IF(H20&gt;48,"Exceeds AX-CTL Charger","")</f>
        <v/>
      </c>
      <c r="C20" s="159" t="s">
        <v>223</v>
      </c>
      <c r="D20" s="160"/>
      <c r="E20" s="160"/>
      <c r="F20" s="160"/>
      <c r="G20" s="160"/>
      <c r="H20" s="81">
        <f>H19*1.25</f>
        <v>1.0728250000000001</v>
      </c>
      <c r="I20" s="21" t="s">
        <v>15</v>
      </c>
      <c r="J20" s="21"/>
      <c r="K20" s="14"/>
    </row>
    <row r="21" spans="1:11" ht="13.5" thickTop="1" x14ac:dyDescent="0.3">
      <c r="A21" s="32"/>
      <c r="B21" s="82"/>
      <c r="C21" s="19"/>
      <c r="D21" s="19"/>
      <c r="E21" s="19"/>
      <c r="F21" s="19"/>
      <c r="G21" s="85"/>
      <c r="H21" s="95"/>
      <c r="I21" s="21"/>
      <c r="J21" s="21"/>
      <c r="K21" s="14"/>
    </row>
    <row r="22" spans="1:11" ht="13" x14ac:dyDescent="0.3">
      <c r="A22" s="32"/>
      <c r="B22" s="82"/>
      <c r="C22" s="19"/>
      <c r="D22" s="19"/>
      <c r="E22" s="19"/>
      <c r="F22" s="19"/>
      <c r="G22" s="85"/>
      <c r="H22" s="95"/>
      <c r="I22" s="21"/>
      <c r="J22" s="21"/>
      <c r="K22" s="14"/>
    </row>
    <row r="23" spans="1:11" x14ac:dyDescent="0.25">
      <c r="A23" s="32"/>
      <c r="B23" s="20" t="s">
        <v>228</v>
      </c>
      <c r="C23" s="19"/>
      <c r="D23" s="19"/>
      <c r="E23" s="19"/>
      <c r="F23" s="19"/>
      <c r="G23" s="19"/>
      <c r="H23" s="19"/>
      <c r="I23" s="19"/>
      <c r="J23" s="19"/>
      <c r="K23" s="12"/>
    </row>
    <row r="24" spans="1:11" x14ac:dyDescent="0.25">
      <c r="A24" s="32"/>
      <c r="B24" s="20" t="s">
        <v>229</v>
      </c>
      <c r="C24" s="19"/>
      <c r="D24" s="19"/>
      <c r="E24" s="19"/>
      <c r="F24" s="19"/>
      <c r="G24" s="206" t="s">
        <v>71</v>
      </c>
      <c r="H24" s="207"/>
      <c r="I24" s="208" t="str">
        <f>IF(E16+H16&gt;5,"Exceeds Current","OK")</f>
        <v>OK</v>
      </c>
      <c r="J24" s="209"/>
      <c r="K24" s="96"/>
    </row>
    <row r="25" spans="1:11" x14ac:dyDescent="0.25">
      <c r="A25" s="32"/>
      <c r="B25" s="19" t="s">
        <v>16</v>
      </c>
      <c r="C25" s="19"/>
      <c r="D25" s="19"/>
      <c r="E25" s="19"/>
      <c r="F25" s="19"/>
      <c r="G25" s="19"/>
      <c r="H25" s="19"/>
      <c r="I25" s="19"/>
      <c r="J25" s="19"/>
      <c r="K25" s="12"/>
    </row>
    <row r="26" spans="1:11" x14ac:dyDescent="0.25">
      <c r="A26" s="32"/>
      <c r="B26" s="193"/>
      <c r="C26" s="194"/>
      <c r="D26" s="194"/>
      <c r="E26" s="194"/>
      <c r="F26" s="194"/>
      <c r="G26" s="194"/>
      <c r="H26" s="195"/>
      <c r="I26" s="19"/>
      <c r="J26" s="19"/>
      <c r="K26" s="12"/>
    </row>
    <row r="27" spans="1:11" x14ac:dyDescent="0.25">
      <c r="A27" s="32"/>
      <c r="B27" s="196"/>
      <c r="C27" s="197"/>
      <c r="D27" s="197"/>
      <c r="E27" s="197"/>
      <c r="F27" s="197"/>
      <c r="G27" s="197"/>
      <c r="H27" s="198"/>
      <c r="I27" s="19"/>
      <c r="J27" s="19"/>
      <c r="K27" s="12"/>
    </row>
    <row r="28" spans="1:11" x14ac:dyDescent="0.25">
      <c r="A28" s="32"/>
      <c r="B28" s="196"/>
      <c r="C28" s="197"/>
      <c r="D28" s="197"/>
      <c r="E28" s="197"/>
      <c r="F28" s="197"/>
      <c r="G28" s="197"/>
      <c r="H28" s="198"/>
      <c r="I28" s="19"/>
      <c r="J28" s="19"/>
      <c r="K28" s="12"/>
    </row>
    <row r="29" spans="1:11" x14ac:dyDescent="0.25">
      <c r="A29" s="32"/>
      <c r="B29" s="196"/>
      <c r="C29" s="197"/>
      <c r="D29" s="197"/>
      <c r="E29" s="197"/>
      <c r="F29" s="197"/>
      <c r="G29" s="197"/>
      <c r="H29" s="198"/>
      <c r="I29" s="19"/>
      <c r="J29" s="19"/>
      <c r="K29" s="12"/>
    </row>
    <row r="30" spans="1:11" x14ac:dyDescent="0.25">
      <c r="A30" s="32"/>
      <c r="B30" s="196"/>
      <c r="C30" s="197"/>
      <c r="D30" s="197"/>
      <c r="E30" s="197"/>
      <c r="F30" s="197"/>
      <c r="G30" s="197"/>
      <c r="H30" s="198"/>
      <c r="I30" s="19"/>
      <c r="J30" s="19"/>
      <c r="K30" s="12"/>
    </row>
    <row r="31" spans="1:11" x14ac:dyDescent="0.25">
      <c r="A31" s="32"/>
      <c r="B31" s="196"/>
      <c r="C31" s="197"/>
      <c r="D31" s="197"/>
      <c r="E31" s="197"/>
      <c r="F31" s="197"/>
      <c r="G31" s="197"/>
      <c r="H31" s="198"/>
      <c r="I31" s="19"/>
      <c r="J31" s="19"/>
      <c r="K31" s="12"/>
    </row>
    <row r="32" spans="1:11" x14ac:dyDescent="0.25">
      <c r="A32" s="32"/>
      <c r="B32" s="196"/>
      <c r="C32" s="197"/>
      <c r="D32" s="197"/>
      <c r="E32" s="197"/>
      <c r="F32" s="197"/>
      <c r="G32" s="197"/>
      <c r="H32" s="198"/>
      <c r="I32" s="19"/>
      <c r="J32" s="19"/>
      <c r="K32" s="12"/>
    </row>
    <row r="33" spans="1:11" x14ac:dyDescent="0.25">
      <c r="A33" s="32"/>
      <c r="B33" s="196"/>
      <c r="C33" s="197"/>
      <c r="D33" s="197"/>
      <c r="E33" s="197"/>
      <c r="F33" s="197"/>
      <c r="G33" s="197"/>
      <c r="H33" s="198"/>
      <c r="I33" s="19"/>
      <c r="J33" s="19"/>
      <c r="K33" s="12"/>
    </row>
    <row r="34" spans="1:11" x14ac:dyDescent="0.25">
      <c r="A34" s="32"/>
      <c r="B34" s="196"/>
      <c r="C34" s="197"/>
      <c r="D34" s="197"/>
      <c r="E34" s="197"/>
      <c r="F34" s="197"/>
      <c r="G34" s="197"/>
      <c r="H34" s="198"/>
      <c r="I34" s="19"/>
      <c r="J34" s="19"/>
      <c r="K34" s="12"/>
    </row>
    <row r="35" spans="1:11" x14ac:dyDescent="0.25">
      <c r="A35" s="32"/>
      <c r="B35" s="196"/>
      <c r="C35" s="197"/>
      <c r="D35" s="197"/>
      <c r="E35" s="197"/>
      <c r="F35" s="197"/>
      <c r="G35" s="197"/>
      <c r="H35" s="198"/>
      <c r="I35" s="19"/>
      <c r="J35" s="19"/>
      <c r="K35" s="12"/>
    </row>
    <row r="36" spans="1:11" x14ac:dyDescent="0.25">
      <c r="A36" s="32"/>
      <c r="B36" s="199"/>
      <c r="C36" s="200"/>
      <c r="D36" s="200"/>
      <c r="E36" s="200"/>
      <c r="F36" s="200"/>
      <c r="G36" s="200"/>
      <c r="H36" s="201"/>
      <c r="I36" s="19"/>
      <c r="J36" s="19"/>
      <c r="K36" s="12"/>
    </row>
    <row r="37" spans="1:11" x14ac:dyDescent="0.25">
      <c r="A37" s="32"/>
      <c r="B37" s="97"/>
      <c r="C37" s="97"/>
      <c r="D37" s="97"/>
      <c r="E37" s="97"/>
      <c r="F37" s="97"/>
      <c r="G37" s="97"/>
      <c r="H37" s="97"/>
      <c r="I37" s="19"/>
      <c r="J37" s="19"/>
      <c r="K37" s="12"/>
    </row>
    <row r="38" spans="1:11" x14ac:dyDescent="0.25">
      <c r="A38" s="32"/>
      <c r="B38" s="97"/>
      <c r="C38" s="97"/>
      <c r="D38" s="97"/>
      <c r="E38" s="97"/>
      <c r="F38" s="97"/>
      <c r="G38" s="97"/>
      <c r="H38" s="97"/>
      <c r="I38" s="19"/>
      <c r="J38" s="19"/>
      <c r="K38" s="12"/>
    </row>
    <row r="39" spans="1:11" x14ac:dyDescent="0.25">
      <c r="A39" s="32"/>
      <c r="B39" s="97"/>
      <c r="C39" s="97"/>
      <c r="D39" s="97"/>
      <c r="E39" s="97"/>
      <c r="F39" s="97"/>
      <c r="G39" s="97"/>
      <c r="H39" s="97"/>
      <c r="I39" s="19"/>
      <c r="J39" s="19"/>
      <c r="K39" s="12"/>
    </row>
    <row r="40" spans="1:11" ht="13" thickBot="1" x14ac:dyDescent="0.3">
      <c r="A40" s="88"/>
      <c r="B40" s="24"/>
      <c r="C40" s="24"/>
      <c r="D40" s="24"/>
      <c r="E40" s="24"/>
      <c r="F40" s="24"/>
      <c r="G40" s="24"/>
      <c r="H40" s="24"/>
      <c r="I40" s="24"/>
      <c r="J40" s="98" t="s">
        <v>43</v>
      </c>
      <c r="K40" s="99" t="s">
        <v>195</v>
      </c>
    </row>
    <row r="41" spans="1:1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1" x14ac:dyDescent="0.25">
      <c r="A42" s="20" t="s">
        <v>49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spans="1:11" x14ac:dyDescent="0.25">
      <c r="A43" s="20" t="s">
        <v>48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pans="1:1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</row>
    <row r="49" spans="1:1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1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</row>
    <row r="53" spans="1:1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</row>
    <row r="54" spans="1:1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</row>
    <row r="56" spans="1:1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</row>
    <row r="57" spans="1:1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</row>
    <row r="58" spans="1:1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</row>
    <row r="59" spans="1:1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</row>
    <row r="60" spans="1:1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spans="1:1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</row>
    <row r="63" spans="1:1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</row>
    <row r="64" spans="1:1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</row>
    <row r="65" spans="1:1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</row>
    <row r="66" spans="1:1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1:1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 spans="1:1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</row>
    <row r="69" spans="1:1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</row>
    <row r="70" spans="1:1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</row>
    <row r="71" spans="1:1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</row>
    <row r="72" spans="1:1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</row>
    <row r="73" spans="1:1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</row>
    <row r="74" spans="1:1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</row>
    <row r="75" spans="1:1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</row>
    <row r="76" spans="1:1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</row>
    <row r="77" spans="1:1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</row>
    <row r="78" spans="1:1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</row>
    <row r="79" spans="1:1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</row>
    <row r="80" spans="1:1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</row>
    <row r="81" spans="1:1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</row>
    <row r="82" spans="1:1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</row>
    <row r="83" spans="1:1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</row>
    <row r="84" spans="1:1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</row>
    <row r="85" spans="1:1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</row>
    <row r="86" spans="1:1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</row>
    <row r="87" spans="1:1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</row>
  </sheetData>
  <sheetProtection password="99C0" sheet="1" selectLockedCells="1"/>
  <mergeCells count="14">
    <mergeCell ref="I24:J24"/>
    <mergeCell ref="C4:H4"/>
    <mergeCell ref="C5:E5"/>
    <mergeCell ref="G5:H5"/>
    <mergeCell ref="A1:K2"/>
    <mergeCell ref="A3:K3"/>
    <mergeCell ref="B26:H36"/>
    <mergeCell ref="C14:D15"/>
    <mergeCell ref="G24:H24"/>
    <mergeCell ref="C20:G20"/>
    <mergeCell ref="C19:G19"/>
    <mergeCell ref="C18:G18"/>
    <mergeCell ref="C16:D16"/>
    <mergeCell ref="F16:G16"/>
  </mergeCells>
  <conditionalFormatting sqref="B20">
    <cfRule type="containsText" dxfId="13" priority="2" stopIfTrue="1" operator="containsText" text="Exceeds">
      <formula>NOT(ISERROR(SEARCH("Exceeds",B20)))</formula>
    </cfRule>
  </conditionalFormatting>
  <conditionalFormatting sqref="H20">
    <cfRule type="cellIs" dxfId="12" priority="1" stopIfTrue="1" operator="greaterThan">
      <formula>$AG$16</formula>
    </cfRule>
  </conditionalFormatting>
  <conditionalFormatting sqref="I24 K24">
    <cfRule type="containsText" dxfId="11" priority="3" stopIfTrue="1" operator="containsText" text="Exceeds">
      <formula>NOT(ISERROR(SEARCH("Exceeds",I24)))</formula>
    </cfRule>
    <cfRule type="expression" dxfId="10" priority="4" stopIfTrue="1">
      <formula>(H16&gt;5)</formula>
    </cfRule>
  </conditionalFormatting>
  <dataValidations count="8">
    <dataValidation allowBlank="1" showInputMessage="1" showErrorMessage="1" promptTitle="Standby Duration" prompt="Enter standby period required in hours" sqref="C17" xr:uid="{00000000-0002-0000-0300-000000000000}"/>
    <dataValidation allowBlank="1" showInputMessage="1" showErrorMessage="1" promptTitle="User Notes" prompt="Enter any special notes_x000a_Letters and numbers allowed" sqref="B26:H39" xr:uid="{00000000-0002-0000-0300-000001000000}"/>
    <dataValidation allowBlank="1" showInputMessage="1" showErrorMessage="1" prompt="Enter date" sqref="G5:H5" xr:uid="{00000000-0002-0000-0300-000002000000}"/>
    <dataValidation allowBlank="1" showInputMessage="1" showErrorMessage="1" prompt="Enter your name" sqref="C5:E5" xr:uid="{00000000-0002-0000-0300-000003000000}"/>
    <dataValidation allowBlank="1" showInputMessage="1" showErrorMessage="1" prompt="Enter Project Name" sqref="C4:H4" xr:uid="{00000000-0002-0000-0300-000004000000}"/>
    <dataValidation type="list" allowBlank="1" showInputMessage="1" showErrorMessage="1" promptTitle="Alarm Duration" prompt="Enter alarm duration_x000a_via dropdown menu" sqref="F17" xr:uid="{00000000-0002-0000-0300-000005000000}">
      <formula1>$AF$2:$AF$13</formula1>
    </dataValidation>
    <dataValidation type="whole" operator="lessThanOrEqual" allowBlank="1" showInputMessage="1" showErrorMessage="1" error="Exceeds Amplifier Wattage" promptTitle="Amplifier 1" prompt="Maximum 40 Watts" sqref="E14" xr:uid="{00000000-0002-0000-0300-000006000000}">
      <formula1>40</formula1>
    </dataValidation>
    <dataValidation type="whole" operator="lessThanOrEqual" allowBlank="1" showInputMessage="1" showErrorMessage="1" error="Exceeds Amplifier Wattage" promptTitle="Amplifier 2" prompt="Maximum 40 Watts" sqref="E15" xr:uid="{00000000-0002-0000-0300-000007000000}">
      <formula1>40</formula1>
    </dataValidation>
  </dataValidations>
  <pageMargins left="0.7" right="0.7" top="0.75" bottom="0.75" header="0.3" footer="0.3"/>
  <pageSetup scale="26" orientation="portrait" r:id="rId1"/>
  <ignoredErrors>
    <ignoredError sqref="K4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H71"/>
  <sheetViews>
    <sheetView workbookViewId="0">
      <selection activeCell="C4" sqref="C4:H4"/>
    </sheetView>
  </sheetViews>
  <sheetFormatPr defaultColWidth="9.1796875" defaultRowHeight="12.5" x14ac:dyDescent="0.25"/>
  <cols>
    <col min="2" max="2" width="31.453125" customWidth="1"/>
    <col min="9" max="9" width="9.1796875" customWidth="1"/>
    <col min="12" max="31" width="9.1796875" style="19"/>
    <col min="32" max="33" width="9.1796875" customWidth="1"/>
  </cols>
  <sheetData>
    <row r="1" spans="1:33" ht="12.75" customHeight="1" x14ac:dyDescent="0.25">
      <c r="A1" s="150" t="s">
        <v>220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33" ht="12.75" customHeight="1" x14ac:dyDescent="0.25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33" x14ac:dyDescent="0.25">
      <c r="A3" s="156" t="s">
        <v>194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  <c r="AF3" s="121" t="s">
        <v>139</v>
      </c>
      <c r="AG3" s="121">
        <v>8.3000000000000004E-2</v>
      </c>
    </row>
    <row r="4" spans="1:33" ht="15.5" x14ac:dyDescent="0.35">
      <c r="A4" s="35"/>
      <c r="B4" s="36" t="s">
        <v>0</v>
      </c>
      <c r="C4" s="161"/>
      <c r="D4" s="189"/>
      <c r="E4" s="189"/>
      <c r="F4" s="189"/>
      <c r="G4" s="189"/>
      <c r="H4" s="190"/>
      <c r="I4" s="19"/>
      <c r="J4" s="19"/>
      <c r="K4" s="12"/>
      <c r="AF4" s="121" t="s">
        <v>140</v>
      </c>
      <c r="AG4" s="121">
        <v>0.16700000000000001</v>
      </c>
    </row>
    <row r="5" spans="1:33" ht="15.5" x14ac:dyDescent="0.35">
      <c r="A5" s="35"/>
      <c r="B5" s="38" t="s">
        <v>1</v>
      </c>
      <c r="C5" s="164"/>
      <c r="D5" s="189"/>
      <c r="E5" s="190"/>
      <c r="F5" s="39" t="s">
        <v>2</v>
      </c>
      <c r="G5" s="165"/>
      <c r="H5" s="191"/>
      <c r="I5" s="20"/>
      <c r="J5" s="20"/>
      <c r="K5" s="13"/>
      <c r="AF5" s="121" t="s">
        <v>141</v>
      </c>
      <c r="AG5" s="121">
        <v>0.25</v>
      </c>
    </row>
    <row r="6" spans="1:33" ht="15.5" x14ac:dyDescent="0.35">
      <c r="A6" s="35"/>
      <c r="B6" s="42"/>
      <c r="C6" s="42"/>
      <c r="D6" s="42"/>
      <c r="E6" s="19"/>
      <c r="F6" s="19"/>
      <c r="G6" s="19"/>
      <c r="H6" s="19"/>
      <c r="I6" s="19"/>
      <c r="J6" s="19"/>
      <c r="K6" s="12"/>
      <c r="AF6" s="121" t="s">
        <v>142</v>
      </c>
      <c r="AG6" s="121">
        <v>0.33400000000000002</v>
      </c>
    </row>
    <row r="7" spans="1:33" ht="15.5" x14ac:dyDescent="0.35">
      <c r="A7" s="32"/>
      <c r="B7" s="42"/>
      <c r="C7" s="19"/>
      <c r="D7" s="19"/>
      <c r="E7" s="19"/>
      <c r="F7" s="19"/>
      <c r="G7" s="19"/>
      <c r="H7" s="19"/>
      <c r="I7" s="19"/>
      <c r="J7" s="19"/>
      <c r="K7" s="12"/>
      <c r="AF7" s="121" t="s">
        <v>143</v>
      </c>
      <c r="AG7" s="121">
        <v>0.41699999999999998</v>
      </c>
    </row>
    <row r="8" spans="1:33" ht="13" x14ac:dyDescent="0.3">
      <c r="A8" s="32"/>
      <c r="B8" s="21"/>
      <c r="C8" s="39"/>
      <c r="D8" s="47" t="s">
        <v>3</v>
      </c>
      <c r="E8" s="36"/>
      <c r="F8" s="39"/>
      <c r="G8" s="47" t="s">
        <v>4</v>
      </c>
      <c r="H8" s="36"/>
      <c r="I8" s="21"/>
      <c r="J8" s="21"/>
      <c r="K8" s="14"/>
      <c r="AF8" s="121" t="s">
        <v>144</v>
      </c>
      <c r="AG8" s="121">
        <v>0.5</v>
      </c>
    </row>
    <row r="9" spans="1:33" ht="13" x14ac:dyDescent="0.3">
      <c r="A9" s="32"/>
      <c r="B9" s="36" t="s">
        <v>5</v>
      </c>
      <c r="C9" s="47" t="s">
        <v>6</v>
      </c>
      <c r="D9" s="47" t="s">
        <v>7</v>
      </c>
      <c r="E9" s="47" t="s">
        <v>8</v>
      </c>
      <c r="F9" s="47" t="s">
        <v>6</v>
      </c>
      <c r="G9" s="47" t="s">
        <v>7</v>
      </c>
      <c r="H9" s="47" t="s">
        <v>8</v>
      </c>
      <c r="I9" s="120"/>
      <c r="J9" s="120"/>
      <c r="K9" s="15"/>
      <c r="AF9" s="121" t="s">
        <v>145</v>
      </c>
      <c r="AG9" s="121">
        <v>0.58399999999999996</v>
      </c>
    </row>
    <row r="10" spans="1:33" x14ac:dyDescent="0.25">
      <c r="A10" s="32"/>
      <c r="B10" s="52" t="s">
        <v>47</v>
      </c>
      <c r="C10" s="4">
        <v>3.5000000000000003E-2</v>
      </c>
      <c r="D10" s="54">
        <v>1</v>
      </c>
      <c r="E10" s="4">
        <f>C10*D10</f>
        <v>3.5000000000000003E-2</v>
      </c>
      <c r="F10" s="4">
        <v>0.22</v>
      </c>
      <c r="G10" s="54">
        <v>1</v>
      </c>
      <c r="H10" s="4">
        <f>F10*G10</f>
        <v>0.22</v>
      </c>
      <c r="I10" s="22"/>
      <c r="J10" s="22"/>
      <c r="K10" s="16"/>
      <c r="AF10" s="121" t="s">
        <v>146</v>
      </c>
      <c r="AG10" s="121">
        <v>0.66700000000000004</v>
      </c>
    </row>
    <row r="11" spans="1:33" x14ac:dyDescent="0.25">
      <c r="A11" s="32"/>
      <c r="B11" s="52" t="s">
        <v>50</v>
      </c>
      <c r="C11" s="100">
        <v>0</v>
      </c>
      <c r="D11" s="51">
        <v>1</v>
      </c>
      <c r="E11" s="4">
        <f>SUM(C11*D11)</f>
        <v>0</v>
      </c>
      <c r="F11" s="100">
        <v>0</v>
      </c>
      <c r="G11" s="51">
        <f>D11</f>
        <v>1</v>
      </c>
      <c r="H11" s="4">
        <f>F11*G11</f>
        <v>0</v>
      </c>
      <c r="I11" s="22"/>
      <c r="J11" s="22"/>
      <c r="K11" s="16"/>
      <c r="AF11" s="121" t="s">
        <v>147</v>
      </c>
      <c r="AG11" s="121">
        <v>0.75</v>
      </c>
    </row>
    <row r="12" spans="1:33" x14ac:dyDescent="0.25">
      <c r="A12" s="32"/>
      <c r="B12" s="129"/>
      <c r="C12" s="142"/>
      <c r="D12" s="143"/>
      <c r="E12" s="135"/>
      <c r="F12" s="142"/>
      <c r="G12" s="144"/>
      <c r="H12" s="130"/>
      <c r="I12" s="22"/>
      <c r="J12" s="22"/>
      <c r="K12" s="16"/>
      <c r="AF12" s="121" t="s">
        <v>148</v>
      </c>
      <c r="AG12" s="121">
        <v>0.83399999999999996</v>
      </c>
    </row>
    <row r="13" spans="1:33" x14ac:dyDescent="0.25">
      <c r="A13" s="32"/>
      <c r="B13" s="129"/>
      <c r="C13" s="145"/>
      <c r="D13" s="144"/>
      <c r="E13" s="130"/>
      <c r="F13" s="145"/>
      <c r="G13" s="144"/>
      <c r="H13" s="130"/>
      <c r="I13" s="22"/>
      <c r="J13" s="22"/>
      <c r="K13" s="16"/>
      <c r="AF13" s="121" t="s">
        <v>149</v>
      </c>
      <c r="AG13" s="121">
        <v>0.91700000000000004</v>
      </c>
    </row>
    <row r="14" spans="1:33" x14ac:dyDescent="0.25">
      <c r="A14" s="32"/>
      <c r="B14" s="52" t="s">
        <v>230</v>
      </c>
      <c r="C14" s="202" t="s">
        <v>60</v>
      </c>
      <c r="D14" s="203"/>
      <c r="E14" s="27">
        <v>0</v>
      </c>
      <c r="F14" s="54">
        <f>SUM(E14/19)</f>
        <v>0</v>
      </c>
      <c r="G14" s="3"/>
      <c r="H14" s="4">
        <f>F14</f>
        <v>0</v>
      </c>
      <c r="I14" s="22"/>
      <c r="J14" s="22"/>
      <c r="K14" s="16"/>
      <c r="AF14" s="121" t="s">
        <v>150</v>
      </c>
      <c r="AG14" s="121">
        <v>1</v>
      </c>
    </row>
    <row r="15" spans="1:33" x14ac:dyDescent="0.25">
      <c r="A15" s="32"/>
      <c r="B15" s="52" t="s">
        <v>231</v>
      </c>
      <c r="C15" s="204"/>
      <c r="D15" s="205"/>
      <c r="E15" s="27">
        <v>0</v>
      </c>
      <c r="F15" s="54">
        <f>SUM(E15/19)</f>
        <v>0</v>
      </c>
      <c r="G15" s="3"/>
      <c r="H15" s="4">
        <f>F15</f>
        <v>0</v>
      </c>
      <c r="I15" s="22"/>
      <c r="J15" s="22"/>
      <c r="K15" s="16"/>
    </row>
    <row r="16" spans="1:33" x14ac:dyDescent="0.25">
      <c r="A16" s="32"/>
      <c r="B16" s="68" t="s">
        <v>8</v>
      </c>
      <c r="C16" s="104" t="s">
        <v>9</v>
      </c>
      <c r="D16" s="105"/>
      <c r="E16" s="69">
        <f>SUM(E10:E13)</f>
        <v>3.5000000000000003E-2</v>
      </c>
      <c r="F16" s="106" t="s">
        <v>10</v>
      </c>
      <c r="G16" s="53"/>
      <c r="H16" s="70">
        <f>SUM(H10:H15)</f>
        <v>0.22</v>
      </c>
      <c r="I16" s="23"/>
      <c r="J16" s="22"/>
      <c r="K16" s="16"/>
      <c r="AF16" s="121"/>
      <c r="AG16" s="121"/>
    </row>
    <row r="17" spans="1:33" x14ac:dyDescent="0.25">
      <c r="A17" s="32"/>
      <c r="B17" s="52" t="s">
        <v>11</v>
      </c>
      <c r="C17" s="11">
        <v>24</v>
      </c>
      <c r="D17" s="94" t="s">
        <v>12</v>
      </c>
      <c r="E17" s="72">
        <f>E16*C17</f>
        <v>0.84000000000000008</v>
      </c>
      <c r="F17" s="116" t="s">
        <v>139</v>
      </c>
      <c r="G17" s="73">
        <f>VLOOKUP(F17,AF3:AG14,2,FALSE)</f>
        <v>8.3000000000000004E-2</v>
      </c>
      <c r="H17" s="74">
        <f>H16*G17</f>
        <v>1.8260000000000002E-2</v>
      </c>
      <c r="I17" s="23"/>
      <c r="J17" s="23"/>
      <c r="K17" s="17"/>
      <c r="AF17" s="121"/>
      <c r="AG17" s="121"/>
    </row>
    <row r="18" spans="1:33" x14ac:dyDescent="0.25">
      <c r="A18" s="32"/>
      <c r="B18" s="19"/>
      <c r="C18" s="107"/>
      <c r="D18" s="108"/>
      <c r="E18" s="109"/>
      <c r="F18" s="110" t="s">
        <v>13</v>
      </c>
      <c r="G18" s="105"/>
      <c r="H18" s="76">
        <f>E17</f>
        <v>0.84000000000000008</v>
      </c>
      <c r="I18" s="19"/>
      <c r="J18" s="23"/>
      <c r="K18" s="17"/>
      <c r="AF18" s="121" t="s">
        <v>236</v>
      </c>
      <c r="AG18" s="121">
        <v>48</v>
      </c>
    </row>
    <row r="19" spans="1:33" ht="13" thickBot="1" x14ac:dyDescent="0.3">
      <c r="A19" s="32"/>
      <c r="B19" s="19"/>
      <c r="C19" s="107"/>
      <c r="D19" s="111"/>
      <c r="E19" s="109"/>
      <c r="F19" s="109"/>
      <c r="G19" s="77" t="s">
        <v>14</v>
      </c>
      <c r="H19" s="78">
        <f>SUM(H17:H18)</f>
        <v>0.85826000000000013</v>
      </c>
      <c r="I19" s="19"/>
      <c r="J19" s="19"/>
      <c r="K19" s="12"/>
      <c r="AF19" s="121"/>
      <c r="AG19" s="121"/>
    </row>
    <row r="20" spans="1:33" ht="14" thickTop="1" thickBot="1" x14ac:dyDescent="0.35">
      <c r="A20" s="32"/>
      <c r="B20" s="49" t="str">
        <f>IF(H20&gt;48,"Exceeds AX-CTL Charger","")</f>
        <v/>
      </c>
      <c r="C20" s="159" t="s">
        <v>223</v>
      </c>
      <c r="D20" s="160"/>
      <c r="E20" s="160"/>
      <c r="F20" s="160"/>
      <c r="G20" s="160"/>
      <c r="H20" s="81">
        <f>H19*1.25</f>
        <v>1.0728250000000001</v>
      </c>
      <c r="I20" s="21" t="s">
        <v>15</v>
      </c>
      <c r="J20" s="19"/>
      <c r="K20" s="12"/>
    </row>
    <row r="21" spans="1:33" ht="13.5" thickTop="1" x14ac:dyDescent="0.3">
      <c r="A21" s="32"/>
      <c r="B21" s="82"/>
      <c r="C21" s="19"/>
      <c r="D21" s="19"/>
      <c r="E21" s="19"/>
      <c r="F21" s="19"/>
      <c r="G21" s="85"/>
      <c r="H21" s="95"/>
      <c r="I21" s="21"/>
      <c r="J21" s="21"/>
      <c r="K21" s="14"/>
    </row>
    <row r="22" spans="1:33" ht="13" x14ac:dyDescent="0.3">
      <c r="A22" s="32"/>
      <c r="B22" s="82"/>
      <c r="C22" s="19"/>
      <c r="D22" s="19"/>
      <c r="E22" s="19"/>
      <c r="F22" s="19"/>
      <c r="G22" s="19"/>
      <c r="H22" s="19"/>
      <c r="I22" s="19"/>
      <c r="J22" s="21"/>
      <c r="K22" s="14"/>
    </row>
    <row r="23" spans="1:33" x14ac:dyDescent="0.25">
      <c r="A23" s="32"/>
      <c r="B23" s="20" t="s">
        <v>70</v>
      </c>
      <c r="C23" s="19"/>
      <c r="D23" s="19"/>
      <c r="E23" s="19"/>
      <c r="F23" s="19"/>
      <c r="G23" s="206" t="s">
        <v>71</v>
      </c>
      <c r="H23" s="207"/>
      <c r="I23" s="208" t="str">
        <f>IF(E16+H16&gt;5,"Exceeds Current","OK")</f>
        <v>OK</v>
      </c>
      <c r="J23" s="209"/>
      <c r="K23" s="112"/>
    </row>
    <row r="24" spans="1:33" x14ac:dyDescent="0.25">
      <c r="A24" s="32"/>
      <c r="B24" s="20"/>
      <c r="C24" s="19"/>
      <c r="D24" s="19"/>
      <c r="E24" s="19"/>
      <c r="F24" s="19"/>
      <c r="G24" s="113"/>
      <c r="H24" s="49"/>
      <c r="I24" s="114"/>
      <c r="J24" s="114"/>
      <c r="K24" s="115"/>
    </row>
    <row r="25" spans="1:33" x14ac:dyDescent="0.25">
      <c r="A25" s="32"/>
      <c r="B25" s="19" t="s">
        <v>16</v>
      </c>
      <c r="C25" s="19"/>
      <c r="D25" s="19"/>
      <c r="E25" s="19"/>
      <c r="F25" s="19"/>
      <c r="G25" s="19"/>
      <c r="H25" s="19"/>
      <c r="I25" s="19"/>
      <c r="J25" s="19"/>
      <c r="K25" s="12"/>
    </row>
    <row r="26" spans="1:33" x14ac:dyDescent="0.25">
      <c r="A26" s="32"/>
      <c r="B26" s="193"/>
      <c r="C26" s="194"/>
      <c r="D26" s="194"/>
      <c r="E26" s="194"/>
      <c r="F26" s="194"/>
      <c r="G26" s="194"/>
      <c r="H26" s="195"/>
      <c r="I26" s="19"/>
      <c r="J26" s="19"/>
      <c r="K26" s="12"/>
    </row>
    <row r="27" spans="1:33" x14ac:dyDescent="0.25">
      <c r="A27" s="32"/>
      <c r="B27" s="196"/>
      <c r="C27" s="197"/>
      <c r="D27" s="197"/>
      <c r="E27" s="197"/>
      <c r="F27" s="197"/>
      <c r="G27" s="197"/>
      <c r="H27" s="198"/>
      <c r="I27" s="19"/>
      <c r="J27" s="19"/>
      <c r="K27" s="12"/>
    </row>
    <row r="28" spans="1:33" x14ac:dyDescent="0.25">
      <c r="A28" s="32"/>
      <c r="B28" s="196"/>
      <c r="C28" s="197"/>
      <c r="D28" s="197"/>
      <c r="E28" s="197"/>
      <c r="F28" s="197"/>
      <c r="G28" s="197"/>
      <c r="H28" s="198"/>
      <c r="I28" s="19"/>
      <c r="J28" s="19"/>
      <c r="K28" s="12"/>
    </row>
    <row r="29" spans="1:33" x14ac:dyDescent="0.25">
      <c r="A29" s="32"/>
      <c r="B29" s="196"/>
      <c r="C29" s="197"/>
      <c r="D29" s="197"/>
      <c r="E29" s="197"/>
      <c r="F29" s="197"/>
      <c r="G29" s="197"/>
      <c r="H29" s="198"/>
      <c r="I29" s="19"/>
      <c r="J29" s="19"/>
      <c r="K29" s="12"/>
    </row>
    <row r="30" spans="1:33" x14ac:dyDescent="0.25">
      <c r="A30" s="32"/>
      <c r="B30" s="196"/>
      <c r="C30" s="197"/>
      <c r="D30" s="197"/>
      <c r="E30" s="197"/>
      <c r="F30" s="197"/>
      <c r="G30" s="197"/>
      <c r="H30" s="198"/>
      <c r="I30" s="19"/>
      <c r="J30" s="19"/>
      <c r="K30" s="12"/>
    </row>
    <row r="31" spans="1:33" x14ac:dyDescent="0.25">
      <c r="A31" s="32"/>
      <c r="B31" s="196"/>
      <c r="C31" s="197"/>
      <c r="D31" s="197"/>
      <c r="E31" s="197"/>
      <c r="F31" s="197"/>
      <c r="G31" s="197"/>
      <c r="H31" s="198"/>
      <c r="I31" s="19"/>
      <c r="J31" s="19"/>
      <c r="K31" s="12"/>
    </row>
    <row r="32" spans="1:33" x14ac:dyDescent="0.25">
      <c r="A32" s="32"/>
      <c r="B32" s="196"/>
      <c r="C32" s="197"/>
      <c r="D32" s="197"/>
      <c r="E32" s="197"/>
      <c r="F32" s="197"/>
      <c r="G32" s="197"/>
      <c r="H32" s="198"/>
      <c r="I32" s="19"/>
      <c r="J32" s="19"/>
      <c r="K32" s="12"/>
    </row>
    <row r="33" spans="1:34" x14ac:dyDescent="0.25">
      <c r="A33" s="32"/>
      <c r="B33" s="196"/>
      <c r="C33" s="197"/>
      <c r="D33" s="197"/>
      <c r="E33" s="197"/>
      <c r="F33" s="197"/>
      <c r="G33" s="197"/>
      <c r="H33" s="198"/>
      <c r="I33" s="19"/>
      <c r="J33" s="19"/>
      <c r="K33" s="12"/>
    </row>
    <row r="34" spans="1:34" x14ac:dyDescent="0.25">
      <c r="A34" s="32"/>
      <c r="B34" s="196"/>
      <c r="C34" s="197"/>
      <c r="D34" s="197"/>
      <c r="E34" s="197"/>
      <c r="F34" s="197"/>
      <c r="G34" s="197"/>
      <c r="H34" s="198"/>
      <c r="I34" s="19"/>
      <c r="J34" s="19"/>
      <c r="K34" s="12"/>
    </row>
    <row r="35" spans="1:34" x14ac:dyDescent="0.25">
      <c r="A35" s="32"/>
      <c r="B35" s="196"/>
      <c r="C35" s="197"/>
      <c r="D35" s="197"/>
      <c r="E35" s="197"/>
      <c r="F35" s="197"/>
      <c r="G35" s="197"/>
      <c r="H35" s="198"/>
      <c r="I35" s="19"/>
      <c r="J35" s="19"/>
      <c r="K35" s="12"/>
    </row>
    <row r="36" spans="1:34" x14ac:dyDescent="0.25">
      <c r="A36" s="32"/>
      <c r="B36" s="199"/>
      <c r="C36" s="200"/>
      <c r="D36" s="200"/>
      <c r="E36" s="200"/>
      <c r="F36" s="200"/>
      <c r="G36" s="200"/>
      <c r="H36" s="201"/>
      <c r="I36" s="19"/>
      <c r="J36" s="19"/>
      <c r="K36" s="12"/>
    </row>
    <row r="37" spans="1:34" x14ac:dyDescent="0.25">
      <c r="A37" s="32"/>
      <c r="B37" s="97"/>
      <c r="C37" s="97"/>
      <c r="D37" s="97"/>
      <c r="E37" s="97"/>
      <c r="F37" s="97"/>
      <c r="G37" s="97"/>
      <c r="H37" s="97"/>
      <c r="I37" s="19"/>
      <c r="J37" s="19"/>
      <c r="K37" s="12"/>
    </row>
    <row r="38" spans="1:34" x14ac:dyDescent="0.25">
      <c r="A38" s="32"/>
      <c r="B38" s="97"/>
      <c r="C38" s="97"/>
      <c r="D38" s="97"/>
      <c r="E38" s="97"/>
      <c r="F38" s="97"/>
      <c r="G38" s="97"/>
      <c r="H38" s="97"/>
      <c r="I38" s="19"/>
      <c r="J38" s="19"/>
      <c r="K38" s="12"/>
    </row>
    <row r="39" spans="1:34" x14ac:dyDescent="0.25">
      <c r="A39" s="32"/>
      <c r="B39" s="97"/>
      <c r="C39" s="97"/>
      <c r="D39" s="97"/>
      <c r="E39" s="97"/>
      <c r="F39" s="97"/>
      <c r="G39" s="97"/>
      <c r="H39" s="97"/>
      <c r="I39" s="19"/>
      <c r="J39" s="19"/>
      <c r="K39" s="12"/>
    </row>
    <row r="40" spans="1:34" ht="13" thickBot="1" x14ac:dyDescent="0.3">
      <c r="A40" s="88"/>
      <c r="B40" s="24"/>
      <c r="C40" s="24"/>
      <c r="D40" s="24"/>
      <c r="E40" s="24"/>
      <c r="F40" s="24"/>
      <c r="G40" s="24"/>
      <c r="H40" s="24"/>
      <c r="I40" s="24"/>
      <c r="J40" s="98" t="s">
        <v>43</v>
      </c>
      <c r="K40" s="99" t="s">
        <v>195</v>
      </c>
    </row>
    <row r="41" spans="1:34" s="19" customFormat="1" x14ac:dyDescent="0.25">
      <c r="AF41"/>
      <c r="AG41"/>
      <c r="AH41"/>
    </row>
    <row r="42" spans="1:34" s="19" customFormat="1" x14ac:dyDescent="0.25">
      <c r="A42" s="20" t="s">
        <v>49</v>
      </c>
      <c r="AF42"/>
      <c r="AG42"/>
      <c r="AH42"/>
    </row>
    <row r="43" spans="1:34" s="19" customFormat="1" x14ac:dyDescent="0.25">
      <c r="A43" s="20" t="s">
        <v>48</v>
      </c>
      <c r="AF43"/>
      <c r="AG43"/>
      <c r="AH43"/>
    </row>
    <row r="44" spans="1:34" s="19" customFormat="1" x14ac:dyDescent="0.25">
      <c r="AF44"/>
      <c r="AG44"/>
      <c r="AH44"/>
    </row>
    <row r="45" spans="1:34" s="19" customFormat="1" x14ac:dyDescent="0.25">
      <c r="AF45"/>
      <c r="AG45"/>
      <c r="AH45"/>
    </row>
    <row r="46" spans="1:34" s="19" customFormat="1" x14ac:dyDescent="0.25">
      <c r="AF46"/>
      <c r="AG46"/>
      <c r="AH46"/>
    </row>
    <row r="47" spans="1:34" s="19" customFormat="1" x14ac:dyDescent="0.25">
      <c r="AF47"/>
      <c r="AG47"/>
      <c r="AH47"/>
    </row>
    <row r="48" spans="1:34" s="19" customFormat="1" x14ac:dyDescent="0.25">
      <c r="AF48"/>
      <c r="AG48"/>
      <c r="AH48"/>
    </row>
    <row r="49" spans="32:34" s="19" customFormat="1" x14ac:dyDescent="0.25">
      <c r="AF49"/>
      <c r="AG49"/>
      <c r="AH49"/>
    </row>
    <row r="50" spans="32:34" s="19" customFormat="1" x14ac:dyDescent="0.25">
      <c r="AF50"/>
      <c r="AG50"/>
      <c r="AH50"/>
    </row>
    <row r="51" spans="32:34" s="19" customFormat="1" x14ac:dyDescent="0.25">
      <c r="AF51"/>
      <c r="AG51"/>
      <c r="AH51"/>
    </row>
    <row r="52" spans="32:34" s="19" customFormat="1" x14ac:dyDescent="0.25">
      <c r="AF52"/>
      <c r="AG52"/>
      <c r="AH52"/>
    </row>
    <row r="53" spans="32:34" s="19" customFormat="1" x14ac:dyDescent="0.25">
      <c r="AF53"/>
      <c r="AG53"/>
      <c r="AH53"/>
    </row>
    <row r="54" spans="32:34" s="19" customFormat="1" x14ac:dyDescent="0.25">
      <c r="AF54"/>
      <c r="AG54"/>
      <c r="AH54"/>
    </row>
    <row r="55" spans="32:34" s="19" customFormat="1" x14ac:dyDescent="0.25">
      <c r="AF55"/>
      <c r="AG55"/>
      <c r="AH55"/>
    </row>
    <row r="56" spans="32:34" s="19" customFormat="1" x14ac:dyDescent="0.25">
      <c r="AF56"/>
      <c r="AG56"/>
      <c r="AH56"/>
    </row>
    <row r="57" spans="32:34" s="19" customFormat="1" x14ac:dyDescent="0.25">
      <c r="AF57"/>
      <c r="AG57"/>
      <c r="AH57"/>
    </row>
    <row r="58" spans="32:34" s="19" customFormat="1" x14ac:dyDescent="0.25">
      <c r="AF58"/>
      <c r="AG58"/>
      <c r="AH58"/>
    </row>
    <row r="59" spans="32:34" s="19" customFormat="1" x14ac:dyDescent="0.25">
      <c r="AF59"/>
      <c r="AG59"/>
      <c r="AH59"/>
    </row>
    <row r="60" spans="32:34" s="19" customFormat="1" x14ac:dyDescent="0.25">
      <c r="AF60"/>
      <c r="AG60"/>
      <c r="AH60"/>
    </row>
    <row r="61" spans="32:34" s="19" customFormat="1" x14ac:dyDescent="0.25">
      <c r="AF61"/>
      <c r="AG61"/>
      <c r="AH61"/>
    </row>
    <row r="62" spans="32:34" s="19" customFormat="1" x14ac:dyDescent="0.25">
      <c r="AF62"/>
      <c r="AG62"/>
      <c r="AH62"/>
    </row>
    <row r="63" spans="32:34" s="19" customFormat="1" x14ac:dyDescent="0.25">
      <c r="AF63"/>
      <c r="AG63"/>
      <c r="AH63"/>
    </row>
    <row r="64" spans="32:34" s="19" customFormat="1" x14ac:dyDescent="0.25">
      <c r="AF64"/>
      <c r="AG64"/>
      <c r="AH64"/>
    </row>
    <row r="65" spans="32:34" s="19" customFormat="1" x14ac:dyDescent="0.25">
      <c r="AF65"/>
      <c r="AG65"/>
      <c r="AH65"/>
    </row>
    <row r="66" spans="32:34" s="19" customFormat="1" x14ac:dyDescent="0.25">
      <c r="AF66"/>
      <c r="AG66"/>
      <c r="AH66"/>
    </row>
    <row r="67" spans="32:34" s="19" customFormat="1" x14ac:dyDescent="0.25">
      <c r="AF67"/>
      <c r="AG67"/>
      <c r="AH67"/>
    </row>
    <row r="68" spans="32:34" s="19" customFormat="1" x14ac:dyDescent="0.25">
      <c r="AF68"/>
      <c r="AG68"/>
      <c r="AH68"/>
    </row>
    <row r="69" spans="32:34" s="19" customFormat="1" x14ac:dyDescent="0.25">
      <c r="AF69"/>
      <c r="AG69"/>
      <c r="AH69"/>
    </row>
    <row r="70" spans="32:34" s="19" customFormat="1" x14ac:dyDescent="0.25">
      <c r="AF70"/>
      <c r="AG70"/>
      <c r="AH70"/>
    </row>
    <row r="71" spans="32:34" s="19" customFormat="1" x14ac:dyDescent="0.25">
      <c r="AF71"/>
      <c r="AG71"/>
      <c r="AH71"/>
    </row>
  </sheetData>
  <sheetProtection password="C3DC" sheet="1" selectLockedCells="1"/>
  <mergeCells count="10">
    <mergeCell ref="I23:J23"/>
    <mergeCell ref="A1:K2"/>
    <mergeCell ref="A3:K3"/>
    <mergeCell ref="B26:H36"/>
    <mergeCell ref="C4:H4"/>
    <mergeCell ref="C5:E5"/>
    <mergeCell ref="G5:H5"/>
    <mergeCell ref="C14:D15"/>
    <mergeCell ref="G23:H23"/>
    <mergeCell ref="C20:G20"/>
  </mergeCells>
  <conditionalFormatting sqref="B20">
    <cfRule type="containsText" dxfId="9" priority="2" stopIfTrue="1" operator="containsText" text="Exceeds">
      <formula>NOT(ISERROR(SEARCH("Exceeds",B20)))</formula>
    </cfRule>
  </conditionalFormatting>
  <conditionalFormatting sqref="H20">
    <cfRule type="cellIs" dxfId="8" priority="1" stopIfTrue="1" operator="greaterThan">
      <formula>$AG$18</formula>
    </cfRule>
  </conditionalFormatting>
  <conditionalFormatting sqref="I23 K23:K24 J24">
    <cfRule type="containsText" dxfId="7" priority="3" stopIfTrue="1" operator="containsText" text="Exceeds">
      <formula>NOT(ISERROR(SEARCH("Exceeds",I23)))</formula>
    </cfRule>
    <cfRule type="expression" dxfId="6" priority="4" stopIfTrue="1">
      <formula>(H15&gt;5)</formula>
    </cfRule>
    <cfRule type="expression" dxfId="5" priority="5" stopIfTrue="1">
      <formula>(H16&gt;5)</formula>
    </cfRule>
  </conditionalFormatting>
  <dataValidations count="8">
    <dataValidation allowBlank="1" showInputMessage="1" showErrorMessage="1" promptTitle="Standby Duration" prompt="Enter standby period required in hours" sqref="C17" xr:uid="{00000000-0002-0000-0400-000000000000}"/>
    <dataValidation allowBlank="1" showInputMessage="1" showErrorMessage="1" promptTitle="User Notes" prompt="Enter any special notes_x000a_Letters and numbers allowed" sqref="B26:H39" xr:uid="{00000000-0002-0000-0400-000001000000}"/>
    <dataValidation allowBlank="1" showInputMessage="1" showErrorMessage="1" prompt="Enter date" sqref="G5:H5" xr:uid="{00000000-0002-0000-0400-000002000000}"/>
    <dataValidation allowBlank="1" showInputMessage="1" showErrorMessage="1" prompt="Enter your name" sqref="C5:E5" xr:uid="{00000000-0002-0000-0400-000003000000}"/>
    <dataValidation allowBlank="1" showInputMessage="1" showErrorMessage="1" prompt="Enter Project Name" sqref="C4:H4" xr:uid="{00000000-0002-0000-0400-000004000000}"/>
    <dataValidation type="list" allowBlank="1" showInputMessage="1" showErrorMessage="1" promptTitle="Alarm Duration" prompt="Enter alarm duration_x000a_via dropdown menu" sqref="F17" xr:uid="{00000000-0002-0000-0400-000005000000}">
      <formula1>$AF$3:$AF$14</formula1>
    </dataValidation>
    <dataValidation type="whole" operator="lessThanOrEqual" allowBlank="1" showInputMessage="1" showErrorMessage="1" error="Exceeds Amplifier Wattage" promptTitle="Amplifier 1" prompt="Maximum 40 Watts" sqref="E14" xr:uid="{00000000-0002-0000-0400-000006000000}">
      <formula1>40</formula1>
    </dataValidation>
    <dataValidation type="whole" operator="lessThanOrEqual" allowBlank="1" showInputMessage="1" showErrorMessage="1" error="Exceeds Amplifier Wattage" promptTitle="Amplifier 2" prompt="Maximum 40 Watts" sqref="E15" xr:uid="{00000000-0002-0000-0400-000007000000}">
      <formula1>40</formula1>
    </dataValidation>
  </dataValidations>
  <pageMargins left="0.7" right="0.7" top="0.75" bottom="0.75" header="0.3" footer="0.3"/>
  <pageSetup scale="28" orientation="portrait" r:id="rId1"/>
  <ignoredErrors>
    <ignoredError sqref="K40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I100"/>
  <sheetViews>
    <sheetView workbookViewId="0">
      <selection activeCell="C4" sqref="C4:H4"/>
    </sheetView>
  </sheetViews>
  <sheetFormatPr defaultColWidth="9.1796875" defaultRowHeight="12.5" x14ac:dyDescent="0.25"/>
  <cols>
    <col min="2" max="2" width="34.1796875" customWidth="1"/>
    <col min="9" max="9" width="9.1796875" customWidth="1"/>
    <col min="12" max="28" width="9.1796875" style="19"/>
    <col min="29" max="29" width="32" style="19" customWidth="1"/>
    <col min="30" max="31" width="9.1796875" style="19"/>
    <col min="32" max="33" width="9.1796875" customWidth="1"/>
  </cols>
  <sheetData>
    <row r="1" spans="1:33" ht="12.75" customHeight="1" x14ac:dyDescent="0.25">
      <c r="A1" s="150" t="s">
        <v>221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33" ht="12.75" customHeight="1" x14ac:dyDescent="0.25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33" x14ac:dyDescent="0.25">
      <c r="A3" s="156" t="s">
        <v>194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33" ht="15.5" x14ac:dyDescent="0.35">
      <c r="A4" s="35"/>
      <c r="B4" s="36" t="s">
        <v>0</v>
      </c>
      <c r="C4" s="161"/>
      <c r="D4" s="189"/>
      <c r="E4" s="189"/>
      <c r="F4" s="189"/>
      <c r="G4" s="189"/>
      <c r="H4" s="190"/>
      <c r="I4" s="19"/>
      <c r="J4" s="19"/>
      <c r="K4" s="12"/>
      <c r="AC4" s="20"/>
      <c r="AD4" s="91"/>
      <c r="AF4" s="121" t="s">
        <v>139</v>
      </c>
      <c r="AG4" s="121">
        <v>8.3000000000000004E-2</v>
      </c>
    </row>
    <row r="5" spans="1:33" ht="15.5" x14ac:dyDescent="0.35">
      <c r="A5" s="35"/>
      <c r="B5" s="38" t="s">
        <v>1</v>
      </c>
      <c r="C5" s="164"/>
      <c r="D5" s="189"/>
      <c r="E5" s="190"/>
      <c r="F5" s="39" t="s">
        <v>2</v>
      </c>
      <c r="G5" s="165"/>
      <c r="H5" s="191"/>
      <c r="I5" s="20"/>
      <c r="J5" s="20"/>
      <c r="K5" s="13"/>
      <c r="AC5" s="20"/>
      <c r="AD5" s="91"/>
      <c r="AE5" s="91"/>
      <c r="AF5" s="121" t="s">
        <v>140</v>
      </c>
      <c r="AG5" s="121">
        <v>0.16700000000000001</v>
      </c>
    </row>
    <row r="6" spans="1:33" ht="15.5" x14ac:dyDescent="0.35">
      <c r="A6" s="35"/>
      <c r="B6" s="42"/>
      <c r="C6" s="42"/>
      <c r="D6" s="42"/>
      <c r="E6" s="19"/>
      <c r="F6" s="19"/>
      <c r="G6" s="19"/>
      <c r="H6" s="19"/>
      <c r="I6" s="19"/>
      <c r="J6" s="19"/>
      <c r="K6" s="12"/>
      <c r="AC6" s="20"/>
      <c r="AD6" s="91"/>
      <c r="AE6" s="91"/>
      <c r="AF6" s="121" t="s">
        <v>141</v>
      </c>
      <c r="AG6" s="121">
        <v>0.25</v>
      </c>
    </row>
    <row r="7" spans="1:33" ht="15.5" x14ac:dyDescent="0.35">
      <c r="A7" s="32"/>
      <c r="B7" s="42"/>
      <c r="C7" s="19"/>
      <c r="D7" s="19"/>
      <c r="E7" s="19"/>
      <c r="F7" s="19"/>
      <c r="G7" s="19"/>
      <c r="H7" s="19"/>
      <c r="I7" s="19"/>
      <c r="J7" s="19"/>
      <c r="K7" s="12"/>
      <c r="AC7" s="20"/>
      <c r="AD7" s="91"/>
      <c r="AF7" s="121" t="s">
        <v>142</v>
      </c>
      <c r="AG7" s="121">
        <v>0.33400000000000002</v>
      </c>
    </row>
    <row r="8" spans="1:33" ht="13" x14ac:dyDescent="0.3">
      <c r="A8" s="32"/>
      <c r="B8" s="21"/>
      <c r="C8" s="39"/>
      <c r="D8" s="47" t="s">
        <v>3</v>
      </c>
      <c r="E8" s="36"/>
      <c r="F8" s="39"/>
      <c r="G8" s="47" t="s">
        <v>187</v>
      </c>
      <c r="H8" s="36"/>
      <c r="I8" s="21"/>
      <c r="J8" s="21"/>
      <c r="K8" s="14"/>
      <c r="AC8" s="20"/>
      <c r="AD8" s="91"/>
      <c r="AF8" s="121" t="s">
        <v>143</v>
      </c>
      <c r="AG8" s="121">
        <v>0.41699999999999998</v>
      </c>
    </row>
    <row r="9" spans="1:33" ht="13" x14ac:dyDescent="0.3">
      <c r="A9" s="32"/>
      <c r="B9" s="36" t="s">
        <v>186</v>
      </c>
      <c r="C9" s="47" t="s">
        <v>6</v>
      </c>
      <c r="D9" s="47" t="s">
        <v>7</v>
      </c>
      <c r="E9" s="47" t="s">
        <v>8</v>
      </c>
      <c r="F9" s="47" t="s">
        <v>6</v>
      </c>
      <c r="G9" s="47" t="s">
        <v>7</v>
      </c>
      <c r="H9" s="47" t="s">
        <v>8</v>
      </c>
      <c r="I9" s="120"/>
      <c r="J9" s="120"/>
      <c r="K9" s="15"/>
      <c r="AC9" s="20"/>
      <c r="AD9" s="91"/>
      <c r="AF9" s="121" t="s">
        <v>144</v>
      </c>
      <c r="AG9" s="121">
        <v>0.5</v>
      </c>
    </row>
    <row r="10" spans="1:33" ht="13" x14ac:dyDescent="0.3">
      <c r="A10" s="32"/>
      <c r="B10" s="52" t="s">
        <v>189</v>
      </c>
      <c r="C10" s="4">
        <v>1.4999999999999999E-2</v>
      </c>
      <c r="D10" s="2">
        <v>0</v>
      </c>
      <c r="E10" s="4">
        <f t="shared" ref="E10:E15" si="0">C10*D10</f>
        <v>0</v>
      </c>
      <c r="F10" s="4">
        <v>1.4999999999999999E-2</v>
      </c>
      <c r="G10" s="3">
        <f>D10</f>
        <v>0</v>
      </c>
      <c r="H10" s="4">
        <f>F10*G10</f>
        <v>0</v>
      </c>
      <c r="I10" s="120"/>
      <c r="J10" s="120"/>
      <c r="K10" s="15"/>
      <c r="AC10" s="20"/>
      <c r="AD10" s="91"/>
      <c r="AF10" s="121" t="s">
        <v>145</v>
      </c>
      <c r="AG10" s="121">
        <v>0.58399999999999996</v>
      </c>
    </row>
    <row r="11" spans="1:33" ht="13" x14ac:dyDescent="0.3">
      <c r="A11" s="32"/>
      <c r="B11" s="52" t="s">
        <v>191</v>
      </c>
      <c r="C11" s="117">
        <v>5.7000000000000002E-3</v>
      </c>
      <c r="D11" s="2">
        <v>0</v>
      </c>
      <c r="E11" s="4">
        <f>C11*D11</f>
        <v>0</v>
      </c>
      <c r="F11" s="117">
        <f>SUM(E11+0.015+(0.075))</f>
        <v>0.09</v>
      </c>
      <c r="G11" s="118">
        <f>+D10*5</f>
        <v>0</v>
      </c>
      <c r="H11" s="4">
        <f>D10*F11</f>
        <v>0</v>
      </c>
      <c r="I11" s="120"/>
      <c r="J11" s="120"/>
      <c r="K11" s="15"/>
      <c r="AC11" s="20"/>
      <c r="AD11" s="91"/>
      <c r="AF11" s="121" t="s">
        <v>146</v>
      </c>
      <c r="AG11" s="121">
        <v>0.66700000000000004</v>
      </c>
    </row>
    <row r="12" spans="1:33" ht="13" x14ac:dyDescent="0.3">
      <c r="A12" s="32"/>
      <c r="B12" s="52"/>
      <c r="C12" s="4"/>
      <c r="D12" s="60"/>
      <c r="E12" s="4"/>
      <c r="F12" s="4"/>
      <c r="G12" s="3"/>
      <c r="H12" s="4"/>
      <c r="I12" s="120"/>
      <c r="J12" s="120"/>
      <c r="K12" s="15"/>
      <c r="AC12" s="20"/>
      <c r="AD12" s="91"/>
      <c r="AF12" s="121" t="s">
        <v>147</v>
      </c>
      <c r="AG12" s="121">
        <v>0.75</v>
      </c>
    </row>
    <row r="13" spans="1:33" ht="13" x14ac:dyDescent="0.3">
      <c r="A13" s="32"/>
      <c r="B13" s="52" t="s">
        <v>188</v>
      </c>
      <c r="C13" s="4">
        <v>0.05</v>
      </c>
      <c r="D13" s="2">
        <v>0</v>
      </c>
      <c r="E13" s="4">
        <f t="shared" si="0"/>
        <v>0</v>
      </c>
      <c r="F13" s="4">
        <v>0.05</v>
      </c>
      <c r="G13" s="3">
        <f>D13</f>
        <v>0</v>
      </c>
      <c r="H13" s="4">
        <f>F13*G13</f>
        <v>0</v>
      </c>
      <c r="I13" s="120"/>
      <c r="J13" s="120"/>
      <c r="K13" s="15"/>
      <c r="AF13" s="121" t="s">
        <v>148</v>
      </c>
      <c r="AG13" s="121">
        <v>0.83399999999999996</v>
      </c>
    </row>
    <row r="14" spans="1:33" ht="13" x14ac:dyDescent="0.3">
      <c r="A14" s="32"/>
      <c r="B14" s="52" t="s">
        <v>190</v>
      </c>
      <c r="C14" s="119">
        <v>1.4999999999999999E-2</v>
      </c>
      <c r="D14" s="2">
        <v>0</v>
      </c>
      <c r="E14" s="4">
        <f t="shared" si="0"/>
        <v>0</v>
      </c>
      <c r="F14" s="4">
        <v>1.4999999999999999E-2</v>
      </c>
      <c r="G14" s="3">
        <f>D14</f>
        <v>0</v>
      </c>
      <c r="H14" s="4">
        <f>F14*G14</f>
        <v>0</v>
      </c>
      <c r="I14" s="120"/>
      <c r="J14" s="120"/>
      <c r="K14" s="15"/>
      <c r="AF14" s="121" t="s">
        <v>149</v>
      </c>
      <c r="AG14" s="121">
        <v>0.91700000000000004</v>
      </c>
    </row>
    <row r="15" spans="1:33" ht="13" x14ac:dyDescent="0.3">
      <c r="A15" s="32"/>
      <c r="B15" s="52" t="s">
        <v>191</v>
      </c>
      <c r="C15" s="117">
        <v>5.7000000000000002E-3</v>
      </c>
      <c r="D15" s="2">
        <v>0</v>
      </c>
      <c r="E15" s="4">
        <f t="shared" si="0"/>
        <v>0</v>
      </c>
      <c r="F15" s="117">
        <f>SUM(E15+0.015+(0.075))</f>
        <v>0.09</v>
      </c>
      <c r="G15" s="118">
        <f>+D13*5</f>
        <v>0</v>
      </c>
      <c r="H15" s="4">
        <f>D13*F15</f>
        <v>0</v>
      </c>
      <c r="I15" s="120"/>
      <c r="J15" s="120"/>
      <c r="K15" s="15"/>
      <c r="AC15" s="20"/>
      <c r="AD15" s="91"/>
      <c r="AF15" s="121" t="s">
        <v>150</v>
      </c>
      <c r="AG15" s="121">
        <v>1</v>
      </c>
    </row>
    <row r="16" spans="1:33" x14ac:dyDescent="0.25">
      <c r="A16" s="32"/>
      <c r="B16" s="52"/>
      <c r="C16" s="4"/>
      <c r="D16" s="54"/>
      <c r="E16" s="4"/>
      <c r="F16" s="4"/>
      <c r="G16" s="54"/>
      <c r="H16" s="4"/>
      <c r="I16" s="22"/>
      <c r="J16" s="22"/>
      <c r="K16" s="16"/>
      <c r="AC16" s="20"/>
      <c r="AD16" s="91"/>
    </row>
    <row r="17" spans="1:11" x14ac:dyDescent="0.25">
      <c r="A17" s="32"/>
      <c r="B17" s="52"/>
      <c r="C17" s="103"/>
      <c r="D17" s="51"/>
      <c r="E17" s="4"/>
      <c r="F17" s="103"/>
      <c r="G17" s="51"/>
      <c r="H17" s="4"/>
      <c r="I17" s="22"/>
      <c r="J17" s="22"/>
      <c r="K17" s="16"/>
    </row>
    <row r="18" spans="1:11" x14ac:dyDescent="0.25">
      <c r="A18" s="32"/>
      <c r="B18" s="68" t="s">
        <v>8</v>
      </c>
      <c r="C18" s="104" t="s">
        <v>9</v>
      </c>
      <c r="D18" s="105"/>
      <c r="E18" s="69">
        <f>SUM(E10:E17)</f>
        <v>0</v>
      </c>
      <c r="F18" s="106" t="s">
        <v>10</v>
      </c>
      <c r="G18" s="53"/>
      <c r="H18" s="70">
        <f>SUM(H10:H17)</f>
        <v>0</v>
      </c>
      <c r="I18" s="23"/>
      <c r="J18" s="22"/>
      <c r="K18" s="16"/>
    </row>
    <row r="19" spans="1:11" x14ac:dyDescent="0.25">
      <c r="A19" s="32"/>
      <c r="B19" s="52" t="s">
        <v>11</v>
      </c>
      <c r="C19" s="9">
        <v>24</v>
      </c>
      <c r="D19" s="94" t="s">
        <v>12</v>
      </c>
      <c r="E19" s="72">
        <f>E18*C19</f>
        <v>0</v>
      </c>
      <c r="F19" s="28" t="s">
        <v>139</v>
      </c>
      <c r="G19" s="73">
        <f>VLOOKUP(F19,AF4:AG15,2,FALSE)</f>
        <v>8.3000000000000004E-2</v>
      </c>
      <c r="H19" s="74">
        <f>H18*G19</f>
        <v>0</v>
      </c>
      <c r="I19" s="23"/>
      <c r="J19" s="23"/>
      <c r="K19" s="17"/>
    </row>
    <row r="20" spans="1:11" x14ac:dyDescent="0.25">
      <c r="A20" s="32"/>
      <c r="B20" s="19"/>
      <c r="C20" s="107"/>
      <c r="D20" s="108"/>
      <c r="E20" s="109"/>
      <c r="F20" s="110" t="s">
        <v>13</v>
      </c>
      <c r="G20" s="105"/>
      <c r="H20" s="76">
        <f>E19</f>
        <v>0</v>
      </c>
      <c r="I20" s="19"/>
      <c r="J20" s="23"/>
      <c r="K20" s="17"/>
    </row>
    <row r="21" spans="1:11" ht="13" thickBot="1" x14ac:dyDescent="0.3">
      <c r="A21" s="32"/>
      <c r="B21" s="19"/>
      <c r="C21" s="107"/>
      <c r="D21" s="111"/>
      <c r="E21" s="109"/>
      <c r="F21" s="109"/>
      <c r="G21" s="75" t="s">
        <v>193</v>
      </c>
      <c r="H21" s="78">
        <f>SUM(H19:H20)</f>
        <v>0</v>
      </c>
      <c r="I21" s="19"/>
      <c r="J21" s="19"/>
      <c r="K21" s="12"/>
    </row>
    <row r="22" spans="1:11" ht="14" thickTop="1" thickBot="1" x14ac:dyDescent="0.35">
      <c r="A22" s="32"/>
      <c r="B22" s="19"/>
      <c r="C22" s="159" t="s">
        <v>223</v>
      </c>
      <c r="D22" s="160"/>
      <c r="E22" s="160"/>
      <c r="F22" s="160"/>
      <c r="G22" s="160"/>
      <c r="H22" s="81">
        <f>H21*1.25</f>
        <v>0</v>
      </c>
      <c r="I22" s="21" t="s">
        <v>15</v>
      </c>
      <c r="J22" s="19"/>
      <c r="K22" s="12"/>
    </row>
    <row r="23" spans="1:11" ht="13.5" thickTop="1" x14ac:dyDescent="0.3">
      <c r="A23" s="32"/>
      <c r="B23" s="82"/>
      <c r="C23" s="19"/>
      <c r="D23" s="19"/>
      <c r="E23" s="19"/>
      <c r="F23" s="19"/>
      <c r="G23" s="85"/>
      <c r="H23" s="95"/>
      <c r="I23" s="21"/>
      <c r="J23" s="21"/>
      <c r="K23" s="14"/>
    </row>
    <row r="24" spans="1:11" ht="13" x14ac:dyDescent="0.3">
      <c r="A24" s="32"/>
      <c r="B24" s="20" t="s">
        <v>192</v>
      </c>
      <c r="C24" s="19"/>
      <c r="D24" s="19"/>
      <c r="E24" s="19"/>
      <c r="F24" s="19"/>
      <c r="G24" s="19"/>
      <c r="H24" s="19"/>
      <c r="I24" s="19"/>
      <c r="J24" s="21"/>
      <c r="K24" s="14"/>
    </row>
    <row r="25" spans="1:11" x14ac:dyDescent="0.25">
      <c r="A25" s="32"/>
      <c r="B25" s="19" t="s">
        <v>16</v>
      </c>
      <c r="C25" s="19"/>
      <c r="D25" s="19"/>
      <c r="E25" s="19"/>
      <c r="F25" s="19"/>
      <c r="G25" s="19"/>
      <c r="H25" s="19"/>
      <c r="I25" s="19"/>
      <c r="J25" s="19"/>
      <c r="K25" s="12"/>
    </row>
    <row r="26" spans="1:11" x14ac:dyDescent="0.25">
      <c r="A26" s="32"/>
      <c r="B26" s="193"/>
      <c r="C26" s="194"/>
      <c r="D26" s="194"/>
      <c r="E26" s="194"/>
      <c r="F26" s="194"/>
      <c r="G26" s="194"/>
      <c r="H26" s="195"/>
      <c r="I26" s="19"/>
      <c r="J26" s="19"/>
      <c r="K26" s="12"/>
    </row>
    <row r="27" spans="1:11" x14ac:dyDescent="0.25">
      <c r="A27" s="32"/>
      <c r="B27" s="196"/>
      <c r="C27" s="197"/>
      <c r="D27" s="197"/>
      <c r="E27" s="197"/>
      <c r="F27" s="197"/>
      <c r="G27" s="197"/>
      <c r="H27" s="198"/>
      <c r="I27" s="19"/>
      <c r="J27" s="19"/>
      <c r="K27" s="12"/>
    </row>
    <row r="28" spans="1:11" x14ac:dyDescent="0.25">
      <c r="A28" s="32"/>
      <c r="B28" s="196"/>
      <c r="C28" s="197"/>
      <c r="D28" s="197"/>
      <c r="E28" s="197"/>
      <c r="F28" s="197"/>
      <c r="G28" s="197"/>
      <c r="H28" s="198"/>
      <c r="I28" s="19"/>
      <c r="J28" s="19"/>
      <c r="K28" s="12"/>
    </row>
    <row r="29" spans="1:11" x14ac:dyDescent="0.25">
      <c r="A29" s="32"/>
      <c r="B29" s="196"/>
      <c r="C29" s="197"/>
      <c r="D29" s="197"/>
      <c r="E29" s="197"/>
      <c r="F29" s="197"/>
      <c r="G29" s="197"/>
      <c r="H29" s="198"/>
      <c r="I29" s="19"/>
      <c r="J29" s="19"/>
      <c r="K29" s="12"/>
    </row>
    <row r="30" spans="1:11" x14ac:dyDescent="0.25">
      <c r="A30" s="32"/>
      <c r="B30" s="196"/>
      <c r="C30" s="197"/>
      <c r="D30" s="197"/>
      <c r="E30" s="197"/>
      <c r="F30" s="197"/>
      <c r="G30" s="197"/>
      <c r="H30" s="198"/>
      <c r="I30" s="19"/>
      <c r="J30" s="19"/>
      <c r="K30" s="12"/>
    </row>
    <row r="31" spans="1:11" x14ac:dyDescent="0.25">
      <c r="A31" s="32"/>
      <c r="B31" s="196"/>
      <c r="C31" s="197"/>
      <c r="D31" s="197"/>
      <c r="E31" s="197"/>
      <c r="F31" s="197"/>
      <c r="G31" s="197"/>
      <c r="H31" s="198"/>
      <c r="I31" s="19"/>
      <c r="J31" s="19"/>
      <c r="K31" s="12"/>
    </row>
    <row r="32" spans="1:11" x14ac:dyDescent="0.25">
      <c r="A32" s="32"/>
      <c r="B32" s="196"/>
      <c r="C32" s="197"/>
      <c r="D32" s="197"/>
      <c r="E32" s="197"/>
      <c r="F32" s="197"/>
      <c r="G32" s="197"/>
      <c r="H32" s="198"/>
      <c r="I32" s="19"/>
      <c r="J32" s="19"/>
      <c r="K32" s="12"/>
    </row>
    <row r="33" spans="1:35" x14ac:dyDescent="0.25">
      <c r="A33" s="32"/>
      <c r="B33" s="196"/>
      <c r="C33" s="197"/>
      <c r="D33" s="197"/>
      <c r="E33" s="197"/>
      <c r="F33" s="197"/>
      <c r="G33" s="197"/>
      <c r="H33" s="198"/>
      <c r="I33" s="19"/>
      <c r="J33" s="19"/>
      <c r="K33" s="12"/>
    </row>
    <row r="34" spans="1:35" x14ac:dyDescent="0.25">
      <c r="A34" s="32"/>
      <c r="B34" s="196"/>
      <c r="C34" s="197"/>
      <c r="D34" s="197"/>
      <c r="E34" s="197"/>
      <c r="F34" s="197"/>
      <c r="G34" s="197"/>
      <c r="H34" s="198"/>
      <c r="I34" s="19"/>
      <c r="J34" s="19"/>
      <c r="K34" s="12"/>
    </row>
    <row r="35" spans="1:35" x14ac:dyDescent="0.25">
      <c r="A35" s="32"/>
      <c r="B35" s="196"/>
      <c r="C35" s="197"/>
      <c r="D35" s="197"/>
      <c r="E35" s="197"/>
      <c r="F35" s="197"/>
      <c r="G35" s="197"/>
      <c r="H35" s="198"/>
      <c r="I35" s="19"/>
      <c r="J35" s="19"/>
      <c r="K35" s="12"/>
    </row>
    <row r="36" spans="1:35" x14ac:dyDescent="0.25">
      <c r="A36" s="32"/>
      <c r="B36" s="199"/>
      <c r="C36" s="200"/>
      <c r="D36" s="200"/>
      <c r="E36" s="200"/>
      <c r="F36" s="200"/>
      <c r="G36" s="200"/>
      <c r="H36" s="201"/>
      <c r="I36" s="19"/>
      <c r="J36" s="19"/>
      <c r="K36" s="12"/>
    </row>
    <row r="37" spans="1:35" x14ac:dyDescent="0.25">
      <c r="A37" s="32"/>
      <c r="B37" s="97"/>
      <c r="C37" s="97"/>
      <c r="D37" s="97"/>
      <c r="E37" s="97"/>
      <c r="F37" s="97"/>
      <c r="G37" s="97"/>
      <c r="H37" s="97"/>
      <c r="I37" s="19"/>
      <c r="J37" s="19"/>
      <c r="K37" s="12"/>
    </row>
    <row r="38" spans="1:35" x14ac:dyDescent="0.25">
      <c r="A38" s="32"/>
      <c r="B38" s="97"/>
      <c r="C38" s="97"/>
      <c r="D38" s="97"/>
      <c r="E38" s="97"/>
      <c r="F38" s="97"/>
      <c r="G38" s="97"/>
      <c r="H38" s="97"/>
      <c r="I38" s="19"/>
      <c r="J38" s="19"/>
      <c r="K38" s="12"/>
    </row>
    <row r="39" spans="1:35" x14ac:dyDescent="0.25">
      <c r="A39" s="32"/>
      <c r="B39" s="97"/>
      <c r="C39" s="97"/>
      <c r="D39" s="97"/>
      <c r="E39" s="97"/>
      <c r="F39" s="97"/>
      <c r="G39" s="97"/>
      <c r="H39" s="97"/>
      <c r="I39" s="19"/>
      <c r="J39" s="19"/>
      <c r="K39" s="12"/>
    </row>
    <row r="40" spans="1:35" ht="13" thickBot="1" x14ac:dyDescent="0.3">
      <c r="A40" s="88"/>
      <c r="B40" s="24"/>
      <c r="C40" s="24"/>
      <c r="D40" s="24"/>
      <c r="E40" s="24"/>
      <c r="F40" s="24"/>
      <c r="G40" s="24"/>
      <c r="H40" s="24"/>
      <c r="I40" s="24"/>
      <c r="J40" s="98" t="s">
        <v>43</v>
      </c>
      <c r="K40" s="99" t="s">
        <v>59</v>
      </c>
    </row>
    <row r="41" spans="1:35" s="19" customFormat="1" x14ac:dyDescent="0.25">
      <c r="AF41"/>
      <c r="AG41"/>
      <c r="AH41"/>
      <c r="AI41"/>
    </row>
    <row r="42" spans="1:35" s="19" customFormat="1" x14ac:dyDescent="0.25">
      <c r="A42" s="82"/>
      <c r="AF42"/>
      <c r="AG42"/>
      <c r="AH42"/>
      <c r="AI42"/>
    </row>
    <row r="43" spans="1:35" s="19" customFormat="1" x14ac:dyDescent="0.25">
      <c r="A43" s="82"/>
      <c r="AF43"/>
      <c r="AG43"/>
      <c r="AH43"/>
      <c r="AI43"/>
    </row>
    <row r="44" spans="1:35" s="19" customFormat="1" x14ac:dyDescent="0.25">
      <c r="AF44"/>
      <c r="AG44"/>
      <c r="AH44"/>
      <c r="AI44"/>
    </row>
    <row r="45" spans="1:35" s="19" customFormat="1" x14ac:dyDescent="0.25">
      <c r="AF45"/>
      <c r="AG45"/>
      <c r="AH45"/>
      <c r="AI45"/>
    </row>
    <row r="46" spans="1:35" s="19" customFormat="1" x14ac:dyDescent="0.25">
      <c r="AF46"/>
      <c r="AG46"/>
      <c r="AH46"/>
      <c r="AI46"/>
    </row>
    <row r="47" spans="1:35" s="19" customFormat="1" x14ac:dyDescent="0.25">
      <c r="AF47"/>
      <c r="AG47"/>
      <c r="AH47"/>
      <c r="AI47"/>
    </row>
    <row r="48" spans="1:35" s="19" customFormat="1" x14ac:dyDescent="0.25">
      <c r="AF48"/>
      <c r="AG48"/>
      <c r="AH48"/>
      <c r="AI48"/>
    </row>
    <row r="49" spans="32:35" s="19" customFormat="1" x14ac:dyDescent="0.25">
      <c r="AF49"/>
      <c r="AG49"/>
      <c r="AH49"/>
      <c r="AI49"/>
    </row>
    <row r="50" spans="32:35" s="19" customFormat="1" x14ac:dyDescent="0.25">
      <c r="AF50"/>
      <c r="AG50"/>
      <c r="AH50"/>
      <c r="AI50"/>
    </row>
    <row r="51" spans="32:35" s="19" customFormat="1" x14ac:dyDescent="0.25">
      <c r="AF51"/>
      <c r="AG51"/>
      <c r="AH51"/>
      <c r="AI51"/>
    </row>
    <row r="52" spans="32:35" s="19" customFormat="1" x14ac:dyDescent="0.25">
      <c r="AF52"/>
      <c r="AG52"/>
      <c r="AH52"/>
      <c r="AI52"/>
    </row>
    <row r="53" spans="32:35" s="19" customFormat="1" x14ac:dyDescent="0.25">
      <c r="AF53"/>
      <c r="AG53"/>
      <c r="AH53"/>
      <c r="AI53"/>
    </row>
    <row r="54" spans="32:35" s="19" customFormat="1" x14ac:dyDescent="0.25">
      <c r="AF54"/>
      <c r="AG54"/>
      <c r="AH54"/>
      <c r="AI54"/>
    </row>
    <row r="55" spans="32:35" s="19" customFormat="1" x14ac:dyDescent="0.25">
      <c r="AF55"/>
      <c r="AG55"/>
      <c r="AH55"/>
      <c r="AI55"/>
    </row>
    <row r="56" spans="32:35" s="19" customFormat="1" x14ac:dyDescent="0.25">
      <c r="AF56"/>
      <c r="AG56"/>
      <c r="AH56"/>
      <c r="AI56"/>
    </row>
    <row r="57" spans="32:35" s="19" customFormat="1" x14ac:dyDescent="0.25">
      <c r="AF57"/>
      <c r="AG57"/>
      <c r="AH57"/>
      <c r="AI57"/>
    </row>
    <row r="58" spans="32:35" s="19" customFormat="1" x14ac:dyDescent="0.25">
      <c r="AF58"/>
      <c r="AG58"/>
      <c r="AH58"/>
      <c r="AI58"/>
    </row>
    <row r="59" spans="32:35" s="19" customFormat="1" x14ac:dyDescent="0.25">
      <c r="AF59"/>
      <c r="AG59"/>
      <c r="AH59"/>
      <c r="AI59"/>
    </row>
    <row r="60" spans="32:35" s="19" customFormat="1" x14ac:dyDescent="0.25">
      <c r="AF60"/>
      <c r="AG60"/>
      <c r="AH60"/>
      <c r="AI60"/>
    </row>
    <row r="61" spans="32:35" s="19" customFormat="1" x14ac:dyDescent="0.25">
      <c r="AF61"/>
      <c r="AG61"/>
      <c r="AH61"/>
      <c r="AI61"/>
    </row>
    <row r="62" spans="32:35" s="19" customFormat="1" x14ac:dyDescent="0.25">
      <c r="AF62"/>
      <c r="AG62"/>
      <c r="AH62"/>
      <c r="AI62"/>
    </row>
    <row r="63" spans="32:35" s="19" customFormat="1" x14ac:dyDescent="0.25">
      <c r="AF63"/>
      <c r="AG63"/>
      <c r="AH63"/>
      <c r="AI63"/>
    </row>
    <row r="64" spans="32:35" s="19" customFormat="1" x14ac:dyDescent="0.25">
      <c r="AF64"/>
      <c r="AG64"/>
      <c r="AH64"/>
      <c r="AI64"/>
    </row>
    <row r="65" spans="32:35" s="19" customFormat="1" x14ac:dyDescent="0.25">
      <c r="AF65"/>
      <c r="AG65"/>
      <c r="AH65"/>
      <c r="AI65"/>
    </row>
    <row r="66" spans="32:35" s="19" customFormat="1" x14ac:dyDescent="0.25">
      <c r="AF66"/>
      <c r="AG66"/>
      <c r="AH66"/>
      <c r="AI66"/>
    </row>
    <row r="67" spans="32:35" s="19" customFormat="1" x14ac:dyDescent="0.25">
      <c r="AF67"/>
      <c r="AG67"/>
      <c r="AH67"/>
      <c r="AI67"/>
    </row>
    <row r="68" spans="32:35" s="19" customFormat="1" x14ac:dyDescent="0.25">
      <c r="AF68"/>
      <c r="AG68"/>
      <c r="AH68"/>
      <c r="AI68"/>
    </row>
    <row r="69" spans="32:35" s="19" customFormat="1" x14ac:dyDescent="0.25">
      <c r="AF69"/>
      <c r="AG69"/>
      <c r="AH69"/>
      <c r="AI69"/>
    </row>
    <row r="70" spans="32:35" s="19" customFormat="1" x14ac:dyDescent="0.25">
      <c r="AF70"/>
      <c r="AG70"/>
      <c r="AH70"/>
      <c r="AI70"/>
    </row>
    <row r="71" spans="32:35" s="19" customFormat="1" x14ac:dyDescent="0.25">
      <c r="AF71"/>
      <c r="AG71"/>
      <c r="AH71"/>
      <c r="AI71"/>
    </row>
    <row r="72" spans="32:35" s="19" customFormat="1" x14ac:dyDescent="0.25">
      <c r="AF72"/>
      <c r="AG72"/>
      <c r="AH72"/>
      <c r="AI72"/>
    </row>
    <row r="73" spans="32:35" s="19" customFormat="1" x14ac:dyDescent="0.25">
      <c r="AF73"/>
      <c r="AG73"/>
      <c r="AH73"/>
      <c r="AI73"/>
    </row>
    <row r="74" spans="32:35" s="19" customFormat="1" x14ac:dyDescent="0.25">
      <c r="AF74"/>
      <c r="AG74"/>
      <c r="AH74"/>
      <c r="AI74"/>
    </row>
    <row r="75" spans="32:35" s="19" customFormat="1" x14ac:dyDescent="0.25">
      <c r="AF75"/>
      <c r="AG75"/>
      <c r="AH75"/>
      <c r="AI75"/>
    </row>
    <row r="76" spans="32:35" s="19" customFormat="1" x14ac:dyDescent="0.25">
      <c r="AF76"/>
      <c r="AG76"/>
      <c r="AH76"/>
      <c r="AI76"/>
    </row>
    <row r="77" spans="32:35" s="19" customFormat="1" x14ac:dyDescent="0.25">
      <c r="AF77"/>
      <c r="AG77"/>
      <c r="AH77"/>
      <c r="AI77"/>
    </row>
    <row r="78" spans="32:35" s="19" customFormat="1" x14ac:dyDescent="0.25">
      <c r="AF78"/>
      <c r="AG78"/>
      <c r="AH78"/>
      <c r="AI78"/>
    </row>
    <row r="79" spans="32:35" s="19" customFormat="1" x14ac:dyDescent="0.25">
      <c r="AF79"/>
      <c r="AG79"/>
      <c r="AH79"/>
      <c r="AI79"/>
    </row>
    <row r="80" spans="32:35" s="19" customFormat="1" x14ac:dyDescent="0.25">
      <c r="AF80"/>
      <c r="AG80"/>
      <c r="AH80"/>
      <c r="AI80"/>
    </row>
    <row r="81" spans="32:35" s="19" customFormat="1" x14ac:dyDescent="0.25">
      <c r="AF81"/>
      <c r="AG81"/>
      <c r="AH81"/>
      <c r="AI81"/>
    </row>
    <row r="82" spans="32:35" s="19" customFormat="1" x14ac:dyDescent="0.25">
      <c r="AF82"/>
      <c r="AG82"/>
      <c r="AH82"/>
      <c r="AI82"/>
    </row>
    <row r="83" spans="32:35" s="19" customFormat="1" x14ac:dyDescent="0.25">
      <c r="AF83"/>
      <c r="AG83"/>
      <c r="AH83"/>
      <c r="AI83"/>
    </row>
    <row r="84" spans="32:35" s="19" customFormat="1" x14ac:dyDescent="0.25">
      <c r="AF84"/>
      <c r="AG84"/>
      <c r="AH84"/>
      <c r="AI84"/>
    </row>
    <row r="85" spans="32:35" s="19" customFormat="1" x14ac:dyDescent="0.25">
      <c r="AF85"/>
      <c r="AG85"/>
      <c r="AH85"/>
      <c r="AI85"/>
    </row>
    <row r="86" spans="32:35" s="19" customFormat="1" x14ac:dyDescent="0.25">
      <c r="AF86"/>
      <c r="AG86"/>
      <c r="AH86"/>
      <c r="AI86"/>
    </row>
    <row r="87" spans="32:35" s="19" customFormat="1" x14ac:dyDescent="0.25">
      <c r="AF87"/>
      <c r="AG87"/>
      <c r="AH87"/>
      <c r="AI87"/>
    </row>
    <row r="88" spans="32:35" s="19" customFormat="1" x14ac:dyDescent="0.25">
      <c r="AF88"/>
      <c r="AG88"/>
      <c r="AH88"/>
      <c r="AI88"/>
    </row>
    <row r="89" spans="32:35" s="19" customFormat="1" x14ac:dyDescent="0.25">
      <c r="AF89"/>
      <c r="AG89"/>
      <c r="AH89"/>
      <c r="AI89"/>
    </row>
    <row r="90" spans="32:35" s="19" customFormat="1" x14ac:dyDescent="0.25">
      <c r="AF90"/>
      <c r="AG90"/>
      <c r="AH90"/>
      <c r="AI90"/>
    </row>
    <row r="91" spans="32:35" s="19" customFormat="1" x14ac:dyDescent="0.25">
      <c r="AF91"/>
      <c r="AG91"/>
      <c r="AH91"/>
      <c r="AI91"/>
    </row>
    <row r="92" spans="32:35" s="19" customFormat="1" x14ac:dyDescent="0.25">
      <c r="AF92"/>
      <c r="AG92"/>
      <c r="AH92"/>
      <c r="AI92"/>
    </row>
    <row r="93" spans="32:35" s="19" customFormat="1" x14ac:dyDescent="0.25">
      <c r="AF93"/>
      <c r="AG93"/>
      <c r="AH93"/>
      <c r="AI93"/>
    </row>
    <row r="94" spans="32:35" s="19" customFormat="1" x14ac:dyDescent="0.25">
      <c r="AF94"/>
      <c r="AG94"/>
      <c r="AH94"/>
      <c r="AI94"/>
    </row>
    <row r="95" spans="32:35" s="19" customFormat="1" x14ac:dyDescent="0.25">
      <c r="AF95"/>
      <c r="AG95"/>
      <c r="AH95"/>
      <c r="AI95"/>
    </row>
    <row r="96" spans="32:35" s="19" customFormat="1" x14ac:dyDescent="0.25">
      <c r="AF96"/>
      <c r="AG96"/>
      <c r="AH96"/>
      <c r="AI96"/>
    </row>
    <row r="97" spans="32:35" s="19" customFormat="1" x14ac:dyDescent="0.25">
      <c r="AF97"/>
      <c r="AG97"/>
      <c r="AH97"/>
      <c r="AI97"/>
    </row>
    <row r="98" spans="32:35" s="19" customFormat="1" x14ac:dyDescent="0.25">
      <c r="AF98"/>
      <c r="AG98"/>
      <c r="AH98"/>
      <c r="AI98"/>
    </row>
    <row r="99" spans="32:35" s="19" customFormat="1" x14ac:dyDescent="0.25">
      <c r="AF99"/>
      <c r="AG99"/>
      <c r="AH99"/>
      <c r="AI99"/>
    </row>
    <row r="100" spans="32:35" s="19" customFormat="1" x14ac:dyDescent="0.25">
      <c r="AF100"/>
      <c r="AG100"/>
      <c r="AH100"/>
      <c r="AI100"/>
    </row>
  </sheetData>
  <sheetProtection password="D01F" sheet="1" selectLockedCells="1"/>
  <mergeCells count="7">
    <mergeCell ref="A1:K2"/>
    <mergeCell ref="C22:G22"/>
    <mergeCell ref="B26:H36"/>
    <mergeCell ref="C4:H4"/>
    <mergeCell ref="C5:E5"/>
    <mergeCell ref="G5:H5"/>
    <mergeCell ref="A3:K3"/>
  </mergeCells>
  <dataValidations count="10">
    <dataValidation allowBlank="1" showInputMessage="1" showErrorMessage="1" promptTitle="User Notes" prompt="Enter any special notes_x000a_Letters and numbers allowed" sqref="B26:H39" xr:uid="{00000000-0002-0000-0500-000000000000}"/>
    <dataValidation allowBlank="1" showInputMessage="1" showErrorMessage="1" promptTitle="Standby Duration" prompt="Enter standby period required in hours" sqref="C19" xr:uid="{00000000-0002-0000-0500-000001000000}"/>
    <dataValidation type="whole" allowBlank="1" showInputMessage="1" showErrorMessage="1" prompt="Valid Range 0 - 210" sqref="D15" xr:uid="{00000000-0002-0000-0500-000002000000}">
      <formula1>0</formula1>
      <formula2>210</formula2>
    </dataValidation>
    <dataValidation type="whole" allowBlank="1" showInputMessage="1" showErrorMessage="1" prompt="Valid Range 0 - 1" sqref="D10 D13" xr:uid="{00000000-0002-0000-0500-000003000000}">
      <formula1>0</formula1>
      <formula2>1</formula2>
    </dataValidation>
    <dataValidation allowBlank="1" showInputMessage="1" showErrorMessage="1" prompt="Enter Project Name" sqref="C4:H4" xr:uid="{00000000-0002-0000-0500-000004000000}"/>
    <dataValidation allowBlank="1" showInputMessage="1" showErrorMessage="1" prompt="Enter your name" sqref="C5:E5" xr:uid="{00000000-0002-0000-0500-000005000000}"/>
    <dataValidation allowBlank="1" showInputMessage="1" showErrorMessage="1" prompt="Enter date" sqref="G5:H5" xr:uid="{00000000-0002-0000-0500-000006000000}"/>
    <dataValidation type="whole" allowBlank="1" showInputMessage="1" showErrorMessage="1" prompt="Valid Range 0 - 35" sqref="D11" xr:uid="{00000000-0002-0000-0500-000007000000}">
      <formula1>0</formula1>
      <formula2>35</formula2>
    </dataValidation>
    <dataValidation type="whole" allowBlank="1" showInputMessage="1" showErrorMessage="1" prompt="Valid Range 0 - 2" sqref="D14" xr:uid="{00000000-0002-0000-0500-000008000000}">
      <formula1>0</formula1>
      <formula2>2</formula2>
    </dataValidation>
    <dataValidation type="list" allowBlank="1" showInputMessage="1" showErrorMessage="1" promptTitle="Active Duration" prompt="Enter active duration_x000a_via dropdown menu" sqref="F19" xr:uid="{00000000-0002-0000-0500-000009000000}">
      <formula1>$AF$4:$AF$15</formula1>
    </dataValidation>
  </dataValidations>
  <pageMargins left="0.7" right="0.7" top="0.75" bottom="0.75" header="0.3" footer="0.3"/>
  <pageSetup scale="26" orientation="portrait" r:id="rId1"/>
  <ignoredErrors>
    <ignoredError sqref="K4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G71"/>
  <sheetViews>
    <sheetView workbookViewId="0">
      <selection activeCell="C4" sqref="C4:H4"/>
    </sheetView>
  </sheetViews>
  <sheetFormatPr defaultColWidth="9.1796875" defaultRowHeight="12.5" x14ac:dyDescent="0.25"/>
  <cols>
    <col min="2" max="2" width="31.453125" customWidth="1"/>
    <col min="9" max="9" width="9.1796875" customWidth="1"/>
    <col min="12" max="31" width="9.1796875" style="19"/>
    <col min="32" max="33" width="9.1796875" customWidth="1"/>
  </cols>
  <sheetData>
    <row r="1" spans="1:33" ht="12.75" customHeight="1" x14ac:dyDescent="0.25">
      <c r="A1" s="150" t="s">
        <v>232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33" ht="12.75" customHeight="1" x14ac:dyDescent="0.25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33" x14ac:dyDescent="0.25">
      <c r="A3" s="156" t="s">
        <v>194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  <c r="AF3" s="121" t="s">
        <v>139</v>
      </c>
      <c r="AG3" s="121">
        <v>8.3000000000000004E-2</v>
      </c>
    </row>
    <row r="4" spans="1:33" ht="15.5" x14ac:dyDescent="0.35">
      <c r="A4" s="35"/>
      <c r="B4" s="36" t="s">
        <v>0</v>
      </c>
      <c r="C4" s="161"/>
      <c r="D4" s="189"/>
      <c r="E4" s="189"/>
      <c r="F4" s="189"/>
      <c r="G4" s="189"/>
      <c r="H4" s="190"/>
      <c r="I4" s="19"/>
      <c r="J4" s="19"/>
      <c r="K4" s="12"/>
      <c r="AF4" s="121" t="s">
        <v>140</v>
      </c>
      <c r="AG4" s="121">
        <v>0.16700000000000001</v>
      </c>
    </row>
    <row r="5" spans="1:33" ht="15.5" x14ac:dyDescent="0.35">
      <c r="A5" s="35"/>
      <c r="B5" s="38" t="s">
        <v>1</v>
      </c>
      <c r="C5" s="164"/>
      <c r="D5" s="189"/>
      <c r="E5" s="190"/>
      <c r="F5" s="39" t="s">
        <v>2</v>
      </c>
      <c r="G5" s="165"/>
      <c r="H5" s="191"/>
      <c r="I5" s="20"/>
      <c r="J5" s="20"/>
      <c r="K5" s="13"/>
      <c r="AF5" s="121" t="s">
        <v>141</v>
      </c>
      <c r="AG5" s="121">
        <v>0.25</v>
      </c>
    </row>
    <row r="6" spans="1:33" ht="15.5" x14ac:dyDescent="0.35">
      <c r="A6" s="35"/>
      <c r="B6" s="42"/>
      <c r="C6" s="42"/>
      <c r="D6" s="42"/>
      <c r="E6" s="19"/>
      <c r="F6" s="19"/>
      <c r="G6" s="19"/>
      <c r="H6" s="19"/>
      <c r="I6" s="19"/>
      <c r="J6" s="19"/>
      <c r="K6" s="12"/>
      <c r="AF6" s="121" t="s">
        <v>142</v>
      </c>
      <c r="AG6" s="121">
        <v>0.33400000000000002</v>
      </c>
    </row>
    <row r="7" spans="1:33" ht="15.5" x14ac:dyDescent="0.35">
      <c r="A7" s="32"/>
      <c r="B7" s="42"/>
      <c r="C7" s="19"/>
      <c r="D7" s="19"/>
      <c r="E7" s="19"/>
      <c r="F7" s="19"/>
      <c r="G7" s="19"/>
      <c r="H7" s="19"/>
      <c r="I7" s="19"/>
      <c r="J7" s="19"/>
      <c r="K7" s="12"/>
      <c r="AF7" s="121" t="s">
        <v>143</v>
      </c>
      <c r="AG7" s="121">
        <v>0.41699999999999998</v>
      </c>
    </row>
    <row r="8" spans="1:33" ht="13" x14ac:dyDescent="0.3">
      <c r="A8" s="32"/>
      <c r="B8" s="21"/>
      <c r="C8" s="39"/>
      <c r="D8" s="47" t="s">
        <v>3</v>
      </c>
      <c r="E8" s="36"/>
      <c r="F8" s="39"/>
      <c r="G8" s="47" t="s">
        <v>4</v>
      </c>
      <c r="H8" s="36"/>
      <c r="I8" s="21"/>
      <c r="J8" s="21"/>
      <c r="K8" s="14"/>
      <c r="AF8" s="121" t="s">
        <v>144</v>
      </c>
      <c r="AG8" s="121">
        <v>0.5</v>
      </c>
    </row>
    <row r="9" spans="1:33" ht="13" x14ac:dyDescent="0.3">
      <c r="A9" s="32"/>
      <c r="B9" s="36" t="s">
        <v>5</v>
      </c>
      <c r="C9" s="148"/>
      <c r="D9" s="219"/>
      <c r="E9" s="149"/>
      <c r="F9" s="148"/>
      <c r="G9" s="219"/>
      <c r="H9" s="149"/>
      <c r="I9" s="120"/>
      <c r="J9" s="120"/>
      <c r="K9" s="15"/>
      <c r="AF9" s="121" t="s">
        <v>145</v>
      </c>
      <c r="AG9" s="121">
        <v>0.58399999999999996</v>
      </c>
    </row>
    <row r="10" spans="1:33" x14ac:dyDescent="0.25">
      <c r="A10" s="32"/>
      <c r="B10" s="25"/>
      <c r="C10" s="213">
        <v>0</v>
      </c>
      <c r="D10" s="214"/>
      <c r="E10" s="215"/>
      <c r="F10" s="213">
        <v>0</v>
      </c>
      <c r="G10" s="214"/>
      <c r="H10" s="215"/>
      <c r="I10" s="22"/>
      <c r="J10" s="22"/>
      <c r="K10" s="16"/>
      <c r="AF10" s="121" t="s">
        <v>146</v>
      </c>
      <c r="AG10" s="121">
        <v>0.66700000000000004</v>
      </c>
    </row>
    <row r="11" spans="1:33" x14ac:dyDescent="0.25">
      <c r="A11" s="32"/>
      <c r="B11" s="25"/>
      <c r="C11" s="213">
        <v>0</v>
      </c>
      <c r="D11" s="214"/>
      <c r="E11" s="215"/>
      <c r="F11" s="213">
        <v>0</v>
      </c>
      <c r="G11" s="214"/>
      <c r="H11" s="215"/>
      <c r="I11" s="22"/>
      <c r="J11" s="22"/>
      <c r="K11" s="16"/>
      <c r="AF11" s="121" t="s">
        <v>147</v>
      </c>
      <c r="AG11" s="121">
        <v>0.75</v>
      </c>
    </row>
    <row r="12" spans="1:33" x14ac:dyDescent="0.25">
      <c r="A12" s="32"/>
      <c r="B12" s="25"/>
      <c r="C12" s="213">
        <v>0</v>
      </c>
      <c r="D12" s="214"/>
      <c r="E12" s="215"/>
      <c r="F12" s="213">
        <v>0</v>
      </c>
      <c r="G12" s="214"/>
      <c r="H12" s="215"/>
      <c r="I12" s="22"/>
      <c r="J12" s="22"/>
      <c r="K12" s="16"/>
      <c r="AF12" s="121" t="s">
        <v>148</v>
      </c>
      <c r="AG12" s="121">
        <v>0.83399999999999996</v>
      </c>
    </row>
    <row r="13" spans="1:33" x14ac:dyDescent="0.25">
      <c r="A13" s="32"/>
      <c r="B13" s="25"/>
      <c r="C13" s="213">
        <v>0</v>
      </c>
      <c r="D13" s="214"/>
      <c r="E13" s="215"/>
      <c r="F13" s="213">
        <v>0</v>
      </c>
      <c r="G13" s="214"/>
      <c r="H13" s="215"/>
      <c r="I13" s="22"/>
      <c r="J13" s="22"/>
      <c r="K13" s="16"/>
      <c r="AF13" s="121" t="s">
        <v>149</v>
      </c>
      <c r="AG13" s="121">
        <v>0.91700000000000004</v>
      </c>
    </row>
    <row r="14" spans="1:33" x14ac:dyDescent="0.25">
      <c r="A14" s="32"/>
      <c r="B14" s="25"/>
      <c r="C14" s="213">
        <v>0</v>
      </c>
      <c r="D14" s="214"/>
      <c r="E14" s="215"/>
      <c r="F14" s="213">
        <v>0</v>
      </c>
      <c r="G14" s="214"/>
      <c r="H14" s="215"/>
      <c r="I14" s="22"/>
      <c r="J14" s="22"/>
      <c r="K14" s="16"/>
      <c r="AF14" s="121" t="s">
        <v>150</v>
      </c>
      <c r="AG14" s="121">
        <v>1</v>
      </c>
    </row>
    <row r="15" spans="1:33" x14ac:dyDescent="0.25">
      <c r="A15" s="32"/>
      <c r="B15" s="52"/>
      <c r="C15" s="210"/>
      <c r="D15" s="211"/>
      <c r="E15" s="212"/>
      <c r="F15" s="216"/>
      <c r="G15" s="217"/>
      <c r="H15" s="218"/>
      <c r="I15" s="22"/>
      <c r="J15" s="22"/>
      <c r="K15" s="16"/>
    </row>
    <row r="16" spans="1:33" x14ac:dyDescent="0.25">
      <c r="A16" s="32"/>
      <c r="B16" s="68" t="s">
        <v>8</v>
      </c>
      <c r="C16" s="104" t="s">
        <v>9</v>
      </c>
      <c r="D16" s="105"/>
      <c r="E16" s="69">
        <f>SUM(C10:E15)</f>
        <v>0</v>
      </c>
      <c r="F16" s="106" t="s">
        <v>10</v>
      </c>
      <c r="G16" s="53"/>
      <c r="H16" s="70">
        <f>SUM(F10:H15)</f>
        <v>0</v>
      </c>
      <c r="I16" s="23"/>
      <c r="J16" s="22"/>
      <c r="K16" s="16"/>
      <c r="AF16" s="121"/>
      <c r="AG16" s="121"/>
    </row>
    <row r="17" spans="1:33" x14ac:dyDescent="0.25">
      <c r="A17" s="32"/>
      <c r="B17" s="52" t="s">
        <v>11</v>
      </c>
      <c r="C17" s="11">
        <v>24</v>
      </c>
      <c r="D17" s="94" t="s">
        <v>12</v>
      </c>
      <c r="E17" s="72">
        <f>E16*C17</f>
        <v>0</v>
      </c>
      <c r="F17" s="116" t="s">
        <v>139</v>
      </c>
      <c r="G17" s="73">
        <f>VLOOKUP(F17,AF3:AG14,2,FALSE)</f>
        <v>8.3000000000000004E-2</v>
      </c>
      <c r="H17" s="74">
        <f>H16*G17</f>
        <v>0</v>
      </c>
      <c r="I17" s="23"/>
      <c r="J17" s="23"/>
      <c r="K17" s="17"/>
      <c r="AF17" s="121"/>
      <c r="AG17" s="121"/>
    </row>
    <row r="18" spans="1:33" x14ac:dyDescent="0.25">
      <c r="A18" s="32"/>
      <c r="B18" s="19"/>
      <c r="C18" s="107"/>
      <c r="D18" s="108"/>
      <c r="E18" s="109"/>
      <c r="F18" s="110" t="s">
        <v>13</v>
      </c>
      <c r="G18" s="105"/>
      <c r="H18" s="76">
        <f>E17</f>
        <v>0</v>
      </c>
      <c r="I18" s="19"/>
      <c r="J18" s="23"/>
      <c r="K18" s="17"/>
      <c r="AF18" s="121"/>
      <c r="AG18" s="121"/>
    </row>
    <row r="19" spans="1:33" ht="13" thickBot="1" x14ac:dyDescent="0.3">
      <c r="A19" s="32"/>
      <c r="B19" s="19"/>
      <c r="C19" s="107"/>
      <c r="D19" s="111"/>
      <c r="E19" s="109"/>
      <c r="F19" s="109"/>
      <c r="G19" s="77" t="s">
        <v>14</v>
      </c>
      <c r="H19" s="78">
        <f>SUM(H17:H18)</f>
        <v>0</v>
      </c>
      <c r="I19" s="19"/>
      <c r="J19" s="19"/>
      <c r="K19" s="12"/>
      <c r="AF19" s="121"/>
      <c r="AG19" s="121"/>
    </row>
    <row r="20" spans="1:33" ht="14" thickTop="1" thickBot="1" x14ac:dyDescent="0.35">
      <c r="A20" s="32"/>
      <c r="B20" s="49" t="str">
        <f>IF(H20&gt;48,"Exceeds AX-PSU-6 Charger","")</f>
        <v/>
      </c>
      <c r="C20" s="159" t="s">
        <v>223</v>
      </c>
      <c r="D20" s="160"/>
      <c r="E20" s="160"/>
      <c r="F20" s="160"/>
      <c r="G20" s="160"/>
      <c r="H20" s="81">
        <f>H19*1.25</f>
        <v>0</v>
      </c>
      <c r="I20" s="21" t="s">
        <v>15</v>
      </c>
      <c r="J20" s="19"/>
      <c r="K20" s="12"/>
      <c r="AF20" s="121" t="s">
        <v>236</v>
      </c>
      <c r="AG20" s="121">
        <v>48</v>
      </c>
    </row>
    <row r="21" spans="1:33" ht="13.5" thickTop="1" x14ac:dyDescent="0.3">
      <c r="A21" s="32"/>
      <c r="B21" s="82"/>
      <c r="C21" s="19"/>
      <c r="D21" s="19"/>
      <c r="E21" s="19"/>
      <c r="F21" s="19"/>
      <c r="G21" s="85"/>
      <c r="H21" s="95"/>
      <c r="I21" s="21"/>
      <c r="J21" s="21"/>
      <c r="K21" s="14"/>
      <c r="AF21" s="121"/>
      <c r="AG21" s="121"/>
    </row>
    <row r="22" spans="1:33" ht="13" x14ac:dyDescent="0.3">
      <c r="A22" s="32"/>
      <c r="B22" s="82"/>
      <c r="C22" s="19"/>
      <c r="D22" s="19"/>
      <c r="E22" s="19"/>
      <c r="F22" s="19"/>
      <c r="G22" s="19"/>
      <c r="H22" s="19"/>
      <c r="I22" s="19"/>
      <c r="J22" s="21"/>
      <c r="K22" s="14"/>
    </row>
    <row r="23" spans="1:33" x14ac:dyDescent="0.25">
      <c r="A23" s="32"/>
      <c r="B23" s="20" t="s">
        <v>235</v>
      </c>
      <c r="C23" s="19"/>
      <c r="D23" s="19"/>
      <c r="E23" s="19"/>
      <c r="F23" s="19"/>
      <c r="G23" s="206" t="s">
        <v>71</v>
      </c>
      <c r="H23" s="207"/>
      <c r="I23" s="208" t="str">
        <f>IF(E16+H16&gt;5,"Exceeds Current","OK")</f>
        <v>OK</v>
      </c>
      <c r="J23" s="209"/>
      <c r="K23" s="112"/>
    </row>
    <row r="24" spans="1:33" x14ac:dyDescent="0.25">
      <c r="A24" s="32"/>
      <c r="B24" s="20"/>
      <c r="C24" s="19"/>
      <c r="D24" s="19"/>
      <c r="E24" s="19"/>
      <c r="F24" s="19"/>
      <c r="G24" s="113"/>
      <c r="H24" s="49"/>
      <c r="I24" s="114"/>
      <c r="J24" s="114"/>
      <c r="K24" s="115"/>
    </row>
    <row r="25" spans="1:33" x14ac:dyDescent="0.25">
      <c r="A25" s="32"/>
      <c r="B25" s="19" t="s">
        <v>16</v>
      </c>
      <c r="C25" s="19"/>
      <c r="D25" s="19"/>
      <c r="E25" s="19"/>
      <c r="F25" s="19"/>
      <c r="G25" s="19"/>
      <c r="H25" s="19"/>
      <c r="I25" s="19"/>
      <c r="J25" s="19"/>
      <c r="K25" s="12"/>
    </row>
    <row r="26" spans="1:33" x14ac:dyDescent="0.25">
      <c r="A26" s="32"/>
      <c r="B26" s="193"/>
      <c r="C26" s="194"/>
      <c r="D26" s="194"/>
      <c r="E26" s="194"/>
      <c r="F26" s="194"/>
      <c r="G26" s="194"/>
      <c r="H26" s="195"/>
      <c r="I26" s="19"/>
      <c r="J26" s="19"/>
      <c r="K26" s="12"/>
    </row>
    <row r="27" spans="1:33" x14ac:dyDescent="0.25">
      <c r="A27" s="32"/>
      <c r="B27" s="196"/>
      <c r="C27" s="197"/>
      <c r="D27" s="197"/>
      <c r="E27" s="197"/>
      <c r="F27" s="197"/>
      <c r="G27" s="197"/>
      <c r="H27" s="198"/>
      <c r="I27" s="19"/>
      <c r="J27" s="19"/>
      <c r="K27" s="12"/>
    </row>
    <row r="28" spans="1:33" x14ac:dyDescent="0.25">
      <c r="A28" s="32"/>
      <c r="B28" s="196"/>
      <c r="C28" s="197"/>
      <c r="D28" s="197"/>
      <c r="E28" s="197"/>
      <c r="F28" s="197"/>
      <c r="G28" s="197"/>
      <c r="H28" s="198"/>
      <c r="I28" s="19"/>
      <c r="J28" s="19"/>
      <c r="K28" s="12"/>
    </row>
    <row r="29" spans="1:33" x14ac:dyDescent="0.25">
      <c r="A29" s="32"/>
      <c r="B29" s="196"/>
      <c r="C29" s="197"/>
      <c r="D29" s="197"/>
      <c r="E29" s="197"/>
      <c r="F29" s="197"/>
      <c r="G29" s="197"/>
      <c r="H29" s="198"/>
      <c r="I29" s="19"/>
      <c r="J29" s="19"/>
      <c r="K29" s="12"/>
    </row>
    <row r="30" spans="1:33" x14ac:dyDescent="0.25">
      <c r="A30" s="32"/>
      <c r="B30" s="196"/>
      <c r="C30" s="197"/>
      <c r="D30" s="197"/>
      <c r="E30" s="197"/>
      <c r="F30" s="197"/>
      <c r="G30" s="197"/>
      <c r="H30" s="198"/>
      <c r="I30" s="19"/>
      <c r="J30" s="19"/>
      <c r="K30" s="12"/>
    </row>
    <row r="31" spans="1:33" x14ac:dyDescent="0.25">
      <c r="A31" s="32"/>
      <c r="B31" s="196"/>
      <c r="C31" s="197"/>
      <c r="D31" s="197"/>
      <c r="E31" s="197"/>
      <c r="F31" s="197"/>
      <c r="G31" s="197"/>
      <c r="H31" s="198"/>
      <c r="I31" s="19"/>
      <c r="J31" s="19"/>
      <c r="K31" s="12"/>
    </row>
    <row r="32" spans="1:33" x14ac:dyDescent="0.25">
      <c r="A32" s="32"/>
      <c r="B32" s="196"/>
      <c r="C32" s="197"/>
      <c r="D32" s="197"/>
      <c r="E32" s="197"/>
      <c r="F32" s="197"/>
      <c r="G32" s="197"/>
      <c r="H32" s="198"/>
      <c r="I32" s="19"/>
      <c r="J32" s="19"/>
      <c r="K32" s="12"/>
    </row>
    <row r="33" spans="1:33" x14ac:dyDescent="0.25">
      <c r="A33" s="32"/>
      <c r="B33" s="196"/>
      <c r="C33" s="197"/>
      <c r="D33" s="197"/>
      <c r="E33" s="197"/>
      <c r="F33" s="197"/>
      <c r="G33" s="197"/>
      <c r="H33" s="198"/>
      <c r="I33" s="19"/>
      <c r="J33" s="19"/>
      <c r="K33" s="12"/>
    </row>
    <row r="34" spans="1:33" x14ac:dyDescent="0.25">
      <c r="A34" s="32"/>
      <c r="B34" s="196"/>
      <c r="C34" s="197"/>
      <c r="D34" s="197"/>
      <c r="E34" s="197"/>
      <c r="F34" s="197"/>
      <c r="G34" s="197"/>
      <c r="H34" s="198"/>
      <c r="I34" s="19"/>
      <c r="J34" s="19"/>
      <c r="K34" s="12"/>
    </row>
    <row r="35" spans="1:33" x14ac:dyDescent="0.25">
      <c r="A35" s="32"/>
      <c r="B35" s="196"/>
      <c r="C35" s="197"/>
      <c r="D35" s="197"/>
      <c r="E35" s="197"/>
      <c r="F35" s="197"/>
      <c r="G35" s="197"/>
      <c r="H35" s="198"/>
      <c r="I35" s="19"/>
      <c r="J35" s="19"/>
      <c r="K35" s="12"/>
    </row>
    <row r="36" spans="1:33" x14ac:dyDescent="0.25">
      <c r="A36" s="32"/>
      <c r="B36" s="199"/>
      <c r="C36" s="200"/>
      <c r="D36" s="200"/>
      <c r="E36" s="200"/>
      <c r="F36" s="200"/>
      <c r="G36" s="200"/>
      <c r="H36" s="201"/>
      <c r="I36" s="19"/>
      <c r="J36" s="19"/>
      <c r="K36" s="12"/>
    </row>
    <row r="37" spans="1:33" x14ac:dyDescent="0.25">
      <c r="A37" s="32"/>
      <c r="B37" s="97"/>
      <c r="C37" s="97"/>
      <c r="D37" s="97"/>
      <c r="E37" s="97"/>
      <c r="F37" s="97"/>
      <c r="G37" s="97"/>
      <c r="H37" s="97"/>
      <c r="I37" s="19"/>
      <c r="J37" s="19"/>
      <c r="K37" s="12"/>
    </row>
    <row r="38" spans="1:33" x14ac:dyDescent="0.25">
      <c r="A38" s="32"/>
      <c r="B38" s="97"/>
      <c r="C38" s="97"/>
      <c r="D38" s="97"/>
      <c r="E38" s="97"/>
      <c r="F38" s="97"/>
      <c r="G38" s="97"/>
      <c r="H38" s="97"/>
      <c r="I38" s="19"/>
      <c r="J38" s="19"/>
      <c r="K38" s="12"/>
    </row>
    <row r="39" spans="1:33" x14ac:dyDescent="0.25">
      <c r="A39" s="32"/>
      <c r="B39" s="97"/>
      <c r="C39" s="97"/>
      <c r="D39" s="97"/>
      <c r="E39" s="97"/>
      <c r="F39" s="97"/>
      <c r="G39" s="97"/>
      <c r="H39" s="97"/>
      <c r="I39" s="19"/>
      <c r="J39" s="19"/>
      <c r="K39" s="12"/>
    </row>
    <row r="40" spans="1:33" ht="13" thickBot="1" x14ac:dyDescent="0.3">
      <c r="A40" s="88"/>
      <c r="B40" s="24"/>
      <c r="C40" s="24"/>
      <c r="D40" s="24"/>
      <c r="E40" s="24"/>
      <c r="F40" s="24"/>
      <c r="G40" s="24"/>
      <c r="H40" s="24"/>
      <c r="I40" s="24"/>
      <c r="J40" s="98" t="s">
        <v>43</v>
      </c>
      <c r="K40" s="99" t="s">
        <v>59</v>
      </c>
    </row>
    <row r="41" spans="1:33" s="19" customFormat="1" x14ac:dyDescent="0.25">
      <c r="AF41"/>
      <c r="AG41"/>
    </row>
    <row r="42" spans="1:33" s="19" customFormat="1" x14ac:dyDescent="0.25">
      <c r="A42" s="20" t="s">
        <v>234</v>
      </c>
      <c r="AF42"/>
      <c r="AG42"/>
    </row>
    <row r="43" spans="1:33" s="19" customFormat="1" x14ac:dyDescent="0.25">
      <c r="A43" s="20" t="s">
        <v>233</v>
      </c>
      <c r="AF43"/>
      <c r="AG43"/>
    </row>
    <row r="44" spans="1:33" s="19" customFormat="1" x14ac:dyDescent="0.25">
      <c r="AF44"/>
      <c r="AG44"/>
    </row>
    <row r="45" spans="1:33" s="19" customFormat="1" x14ac:dyDescent="0.25">
      <c r="AF45"/>
      <c r="AG45"/>
    </row>
    <row r="46" spans="1:33" s="19" customFormat="1" x14ac:dyDescent="0.25">
      <c r="AF46"/>
      <c r="AG46"/>
    </row>
    <row r="47" spans="1:33" s="19" customFormat="1" x14ac:dyDescent="0.25">
      <c r="AF47"/>
      <c r="AG47"/>
    </row>
    <row r="48" spans="1:33" s="19" customFormat="1" x14ac:dyDescent="0.25">
      <c r="AF48"/>
      <c r="AG48"/>
    </row>
    <row r="49" spans="32:33" s="19" customFormat="1" x14ac:dyDescent="0.25">
      <c r="AF49"/>
      <c r="AG49"/>
    </row>
    <row r="50" spans="32:33" s="19" customFormat="1" x14ac:dyDescent="0.25">
      <c r="AF50"/>
      <c r="AG50"/>
    </row>
    <row r="51" spans="32:33" s="19" customFormat="1" x14ac:dyDescent="0.25">
      <c r="AF51"/>
      <c r="AG51"/>
    </row>
    <row r="52" spans="32:33" s="19" customFormat="1" x14ac:dyDescent="0.25">
      <c r="AF52"/>
      <c r="AG52"/>
    </row>
    <row r="53" spans="32:33" s="19" customFormat="1" x14ac:dyDescent="0.25">
      <c r="AF53"/>
      <c r="AG53"/>
    </row>
    <row r="54" spans="32:33" s="19" customFormat="1" x14ac:dyDescent="0.25">
      <c r="AF54"/>
      <c r="AG54"/>
    </row>
    <row r="55" spans="32:33" s="19" customFormat="1" x14ac:dyDescent="0.25">
      <c r="AF55"/>
      <c r="AG55"/>
    </row>
    <row r="56" spans="32:33" s="19" customFormat="1" x14ac:dyDescent="0.25">
      <c r="AF56"/>
      <c r="AG56"/>
    </row>
    <row r="57" spans="32:33" s="19" customFormat="1" x14ac:dyDescent="0.25">
      <c r="AF57"/>
      <c r="AG57"/>
    </row>
    <row r="58" spans="32:33" s="19" customFormat="1" x14ac:dyDescent="0.25">
      <c r="AF58"/>
      <c r="AG58"/>
    </row>
    <row r="59" spans="32:33" s="19" customFormat="1" x14ac:dyDescent="0.25">
      <c r="AF59"/>
      <c r="AG59"/>
    </row>
    <row r="60" spans="32:33" s="19" customFormat="1" x14ac:dyDescent="0.25">
      <c r="AF60"/>
      <c r="AG60"/>
    </row>
    <row r="61" spans="32:33" s="19" customFormat="1" x14ac:dyDescent="0.25">
      <c r="AF61"/>
      <c r="AG61"/>
    </row>
    <row r="62" spans="32:33" s="19" customFormat="1" x14ac:dyDescent="0.25">
      <c r="AF62"/>
      <c r="AG62"/>
    </row>
    <row r="63" spans="32:33" s="19" customFormat="1" x14ac:dyDescent="0.25">
      <c r="AF63"/>
      <c r="AG63"/>
    </row>
    <row r="64" spans="32:33" s="19" customFormat="1" x14ac:dyDescent="0.25">
      <c r="AF64"/>
      <c r="AG64"/>
    </row>
    <row r="65" spans="32:33" s="19" customFormat="1" x14ac:dyDescent="0.25">
      <c r="AF65"/>
      <c r="AG65"/>
    </row>
    <row r="66" spans="32:33" s="19" customFormat="1" x14ac:dyDescent="0.25">
      <c r="AF66"/>
      <c r="AG66"/>
    </row>
    <row r="67" spans="32:33" s="19" customFormat="1" x14ac:dyDescent="0.25">
      <c r="AF67"/>
      <c r="AG67"/>
    </row>
    <row r="68" spans="32:33" s="19" customFormat="1" x14ac:dyDescent="0.25">
      <c r="AF68"/>
      <c r="AG68"/>
    </row>
    <row r="69" spans="32:33" s="19" customFormat="1" x14ac:dyDescent="0.25">
      <c r="AF69"/>
      <c r="AG69"/>
    </row>
    <row r="70" spans="32:33" s="19" customFormat="1" x14ac:dyDescent="0.25">
      <c r="AF70"/>
      <c r="AG70"/>
    </row>
    <row r="71" spans="32:33" s="19" customFormat="1" x14ac:dyDescent="0.25">
      <c r="AF71"/>
      <c r="AG71"/>
    </row>
  </sheetData>
  <sheetProtection password="F469" sheet="1" selectLockedCells="1"/>
  <mergeCells count="23">
    <mergeCell ref="A1:K2"/>
    <mergeCell ref="A3:K3"/>
    <mergeCell ref="C4:H4"/>
    <mergeCell ref="C5:E5"/>
    <mergeCell ref="G5:H5"/>
    <mergeCell ref="C20:G20"/>
    <mergeCell ref="G23:H23"/>
    <mergeCell ref="I23:J23"/>
    <mergeCell ref="B26:H36"/>
    <mergeCell ref="C9:E9"/>
    <mergeCell ref="F9:H9"/>
    <mergeCell ref="C10:E10"/>
    <mergeCell ref="C11:E11"/>
    <mergeCell ref="C12:E12"/>
    <mergeCell ref="C13:E13"/>
    <mergeCell ref="C14:E14"/>
    <mergeCell ref="C15:E15"/>
    <mergeCell ref="F10:H10"/>
    <mergeCell ref="F11:H11"/>
    <mergeCell ref="F12:H12"/>
    <mergeCell ref="F13:H13"/>
    <mergeCell ref="F14:H14"/>
    <mergeCell ref="F15:H15"/>
  </mergeCells>
  <conditionalFormatting sqref="B20 I23:J23">
    <cfRule type="containsText" dxfId="4" priority="3" stopIfTrue="1" operator="containsText" text="Exceeds">
      <formula>NOT(ISERROR(SEARCH("Exceeds",B20)))</formula>
    </cfRule>
  </conditionalFormatting>
  <conditionalFormatting sqref="H20">
    <cfRule type="cellIs" dxfId="3" priority="2" stopIfTrue="1" operator="greaterThan">
      <formula>$AG$20</formula>
    </cfRule>
  </conditionalFormatting>
  <conditionalFormatting sqref="I23 K23:K24 J24">
    <cfRule type="expression" dxfId="2" priority="6" stopIfTrue="1">
      <formula>(H16&gt;5)</formula>
    </cfRule>
  </conditionalFormatting>
  <conditionalFormatting sqref="K23:K24 J24 I23">
    <cfRule type="expression" dxfId="1" priority="5" stopIfTrue="1">
      <formula>(H15&gt;5)</formula>
    </cfRule>
  </conditionalFormatting>
  <conditionalFormatting sqref="K23:K24 J24">
    <cfRule type="containsText" dxfId="0" priority="4" stopIfTrue="1" operator="containsText" text="Exceeds">
      <formula>NOT(ISERROR(SEARCH("Exceeds",J23)))</formula>
    </cfRule>
  </conditionalFormatting>
  <dataValidations count="6">
    <dataValidation type="list" allowBlank="1" showInputMessage="1" showErrorMessage="1" promptTitle="Alarm Duration" prompt="Enter alarm duration_x000a_via dropdown menu" sqref="F17" xr:uid="{00000000-0002-0000-0600-000000000000}">
      <formula1>$AF$3:$AF$14</formula1>
    </dataValidation>
    <dataValidation allowBlank="1" showInputMessage="1" showErrorMessage="1" prompt="Enter Project Name" sqref="C4:H4" xr:uid="{00000000-0002-0000-0600-000001000000}"/>
    <dataValidation allowBlank="1" showInputMessage="1" showErrorMessage="1" prompt="Enter your name" sqref="C5:E5" xr:uid="{00000000-0002-0000-0600-000002000000}"/>
    <dataValidation allowBlank="1" showInputMessage="1" showErrorMessage="1" prompt="Enter date" sqref="G5:H5" xr:uid="{00000000-0002-0000-0600-000003000000}"/>
    <dataValidation allowBlank="1" showInputMessage="1" showErrorMessage="1" promptTitle="User Notes" prompt="Enter any special notes_x000a_Letters and numbers allowed" sqref="B26:H39" xr:uid="{00000000-0002-0000-0600-000004000000}"/>
    <dataValidation allowBlank="1" showInputMessage="1" showErrorMessage="1" promptTitle="Standby Duration" prompt="Enter standby period required in hours" sqref="C17" xr:uid="{00000000-0002-0000-0600-000005000000}"/>
  </dataValidations>
  <pageMargins left="0.7" right="0.7" top="0.75" bottom="0.75" header="0.3" footer="0.3"/>
  <pageSetup scale="28" orientation="portrait" r:id="rId1"/>
  <ignoredErrors>
    <ignoredError sqref="K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D06F39D013CF42A7566E5E61C967D7" ma:contentTypeVersion="21" ma:contentTypeDescription="Create a new document." ma:contentTypeScope="" ma:versionID="a9a35f39b99bc4cba485a1f3be15a80c">
  <xsd:schema xmlns:xsd="http://www.w3.org/2001/XMLSchema" xmlns:xs="http://www.w3.org/2001/XMLSchema" xmlns:p="http://schemas.microsoft.com/office/2006/metadata/properties" xmlns:ns2="http://schemas.microsoft.com/sharepoint/v3/fields" xmlns:ns3="8c6cdaa3-2cee-416b-b246-ad3dc33baadd" xmlns:ns4="debb8f35-ae76-4bc2-afb7-c3a3c65b03b8" targetNamespace="http://schemas.microsoft.com/office/2006/metadata/properties" ma:root="true" ma:fieldsID="34fe6995cc6e356dcde96411fad1546e" ns2:_="" ns3:_="" ns4:_="">
    <xsd:import namespace="http://schemas.microsoft.com/sharepoint/v3/fields"/>
    <xsd:import namespace="8c6cdaa3-2cee-416b-b246-ad3dc33baadd"/>
    <xsd:import namespace="debb8f35-ae76-4bc2-afb7-c3a3c65b03b8"/>
    <xsd:element name="properties">
      <xsd:complexType>
        <xsd:sequence>
          <xsd:element name="documentManagement">
            <xsd:complexType>
              <xsd:all>
                <xsd:element ref="ns2: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Location" ma:index="5" nillable="true" ma:displayName="Location" ma:description="" ma:internalName="Loca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cdaa3-2cee-416b-b246-ad3dc33baad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5347e7a4-4d74-4708-b8fc-302dad2d0844}" ma:internalName="TaxCatchAll" ma:showField="CatchAllData" ma:web="8c6cdaa3-2cee-416b-b246-ad3dc33ba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b8f35-ae76-4bc2-afb7-c3a3c65b03b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842dfc5-13bc-413d-b12b-68dbd3cc3f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304BFD-A180-46EA-A1C7-5749A20D4965}"/>
</file>

<file path=customXml/itemProps2.xml><?xml version="1.0" encoding="utf-8"?>
<ds:datastoreItem xmlns:ds="http://schemas.openxmlformats.org/officeDocument/2006/customXml" ds:itemID="{B44708AD-84EE-4AAB-888C-960C64C8FCCE}"/>
</file>

<file path=docMetadata/LabelInfo.xml><?xml version="1.0" encoding="utf-8"?>
<clbl:labelList xmlns:clbl="http://schemas.microsoft.com/office/2020/mipLabelMetadata">
  <clbl:label id="{7b6f9e29-640b-438e-82e2-995285e96dd4}" enabled="1" method="Standard" siteId="{078256a4-c4a0-4e95-b107-2ae7d5db858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AX-CTL 1 Loop</vt:lpstr>
      <vt:lpstr>AX-CTL 2 Loop</vt:lpstr>
      <vt:lpstr>AX-CTL 4 Loop</vt:lpstr>
      <vt:lpstr>AV-AMP-80</vt:lpstr>
      <vt:lpstr>AV-VB</vt:lpstr>
      <vt:lpstr>AV-TEL</vt:lpstr>
      <vt:lpstr>AX-PSU-6</vt:lpstr>
    </vt:vector>
  </TitlesOfParts>
  <Company>Advanced Fire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Kaiser</dc:creator>
  <cp:lastModifiedBy>Laura Shaw</cp:lastModifiedBy>
  <cp:lastPrinted>2016-01-20T17:08:49Z</cp:lastPrinted>
  <dcterms:created xsi:type="dcterms:W3CDTF">2007-10-10T16:28:09Z</dcterms:created>
  <dcterms:modified xsi:type="dcterms:W3CDTF">2023-11-06T16:49:10Z</dcterms:modified>
</cp:coreProperties>
</file>